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"/>
    </mc:Choice>
  </mc:AlternateContent>
  <xr:revisionPtr revIDLastSave="0" documentId="13_ncr:1_{F96DD68D-7206-4A4F-89E6-1ADBD46AE478}" xr6:coauthVersionLast="45" xr6:coauthVersionMax="46" xr10:uidLastSave="{00000000-0000-0000-0000-000000000000}"/>
  <bookViews>
    <workbookView xWindow="2140" yWindow="1520" windowWidth="21200" windowHeight="18020" tabRatio="699" xr2:uid="{00000000-000D-0000-FFFF-FFFF00000000}"/>
  </bookViews>
  <sheets>
    <sheet name="Dashboard" sheetId="8" r:id="rId1"/>
    <sheet name="KPI" sheetId="4" r:id="rId2"/>
    <sheet name="DataForKPI" sheetId="6" r:id="rId3"/>
    <sheet name="KPI per month" sheetId="7" r:id="rId4"/>
    <sheet name="EmployeeSituations" sheetId="1" r:id="rId5"/>
    <sheet name="Statistics per department" sheetId="2" r:id="rId6"/>
    <sheet name="GeneralStatistics" sheetId="5" r:id="rId7"/>
    <sheet name="Legend" sheetId="3" r:id="rId8"/>
    <sheet name="©" sheetId="9" r:id="rId9"/>
  </sheets>
  <definedNames>
    <definedName name="department">Legend!$A$2:$A$7</definedName>
    <definedName name="month">Legend!$C$2:$C$13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5" l="1"/>
  <c r="H27" i="5"/>
  <c r="H28" i="5"/>
  <c r="H29" i="5"/>
  <c r="H30" i="5"/>
  <c r="H25" i="5"/>
  <c r="C11" i="4"/>
  <c r="D11" i="4"/>
  <c r="E11" i="4"/>
  <c r="F11" i="4"/>
  <c r="G11" i="4"/>
  <c r="H11" i="4"/>
  <c r="I11" i="4"/>
  <c r="J11" i="4"/>
  <c r="K11" i="4"/>
  <c r="L11" i="4"/>
  <c r="M11" i="4"/>
  <c r="B11" i="4"/>
  <c r="B11" i="7" s="1"/>
  <c r="C12" i="7" s="1"/>
  <c r="C5" i="4"/>
  <c r="D5" i="4"/>
  <c r="E5" i="4"/>
  <c r="F5" i="4"/>
  <c r="G5" i="4"/>
  <c r="H5" i="4"/>
  <c r="I5" i="4"/>
  <c r="J5" i="4"/>
  <c r="K5" i="4"/>
  <c r="L5" i="4"/>
  <c r="M5" i="4"/>
  <c r="B5" i="4"/>
  <c r="B5" i="7" s="1"/>
  <c r="C6" i="7" s="1"/>
  <c r="C6" i="4"/>
  <c r="D6" i="4"/>
  <c r="E6" i="4"/>
  <c r="F6" i="4"/>
  <c r="G6" i="4"/>
  <c r="H6" i="4"/>
  <c r="I6" i="4"/>
  <c r="J6" i="4"/>
  <c r="K6" i="4"/>
  <c r="L6" i="4"/>
  <c r="M6" i="4"/>
  <c r="B6" i="4"/>
  <c r="B6" i="7" s="1"/>
  <c r="C7" i="7" s="1"/>
  <c r="C7" i="4"/>
  <c r="D7" i="4"/>
  <c r="E7" i="4"/>
  <c r="F7" i="4"/>
  <c r="G7" i="4"/>
  <c r="H7" i="4"/>
  <c r="I7" i="4"/>
  <c r="J7" i="4"/>
  <c r="K7" i="4"/>
  <c r="L7" i="4"/>
  <c r="M7" i="4"/>
  <c r="B7" i="4"/>
  <c r="B7" i="7" s="1"/>
  <c r="C8" i="7" s="1"/>
  <c r="E11" i="5"/>
  <c r="E10" i="5"/>
  <c r="E9" i="5"/>
  <c r="E8" i="5"/>
  <c r="E7" i="5"/>
  <c r="E6" i="5"/>
  <c r="C8" i="4"/>
  <c r="D8" i="4"/>
  <c r="E8" i="4"/>
  <c r="F8" i="4"/>
  <c r="G8" i="4"/>
  <c r="H8" i="4"/>
  <c r="I8" i="4"/>
  <c r="J8" i="4"/>
  <c r="K8" i="4"/>
  <c r="L8" i="4"/>
  <c r="M8" i="4"/>
  <c r="B8" i="4"/>
  <c r="B8" i="7" s="1"/>
  <c r="C9" i="7" s="1"/>
  <c r="D10" i="4"/>
  <c r="E10" i="4"/>
  <c r="F10" i="4"/>
  <c r="G10" i="4"/>
  <c r="H10" i="4"/>
  <c r="I10" i="4"/>
  <c r="J10" i="4"/>
  <c r="K10" i="4"/>
  <c r="L10" i="4"/>
  <c r="M10" i="4"/>
  <c r="C10" i="4"/>
  <c r="B10" i="4"/>
  <c r="B10" i="7" s="1"/>
  <c r="C11" i="7" s="1"/>
  <c r="C9" i="4"/>
  <c r="D9" i="4"/>
  <c r="E9" i="4"/>
  <c r="F9" i="4"/>
  <c r="G9" i="4"/>
  <c r="H9" i="4"/>
  <c r="I9" i="4"/>
  <c r="J9" i="4"/>
  <c r="K9" i="4"/>
  <c r="L9" i="4"/>
  <c r="M9" i="4"/>
  <c r="B9" i="4"/>
  <c r="B9" i="7" s="1"/>
  <c r="C10" i="7" s="1"/>
  <c r="M4" i="4" l="1"/>
  <c r="D4" i="4"/>
  <c r="L4" i="4"/>
  <c r="C4" i="4"/>
  <c r="K4" i="4"/>
  <c r="B4" i="4"/>
  <c r="B12" i="7" s="1"/>
  <c r="F4" i="4"/>
  <c r="J4" i="4"/>
  <c r="H4" i="4"/>
  <c r="G4" i="4"/>
  <c r="E4" i="4"/>
  <c r="I4" i="4"/>
  <c r="M3" i="4"/>
  <c r="L3" i="4"/>
  <c r="K3" i="4"/>
  <c r="J3" i="4"/>
  <c r="I3" i="4"/>
  <c r="H3" i="4"/>
  <c r="G3" i="4"/>
  <c r="F3" i="4"/>
  <c r="E3" i="4"/>
  <c r="D3" i="4"/>
  <c r="C3" i="4"/>
  <c r="B3" i="4"/>
  <c r="B4" i="7" s="1"/>
  <c r="C4" i="7" s="1"/>
  <c r="B26" i="5"/>
  <c r="B25" i="5"/>
  <c r="B20" i="5"/>
  <c r="B19" i="5"/>
  <c r="B18" i="5"/>
  <c r="B17" i="5"/>
  <c r="B16" i="5"/>
  <c r="B15" i="5"/>
  <c r="E20" i="5"/>
  <c r="E19" i="5"/>
  <c r="E18" i="5"/>
  <c r="E17" i="5"/>
  <c r="E16" i="5"/>
  <c r="E15" i="5"/>
  <c r="B11" i="5"/>
  <c r="B10" i="5"/>
  <c r="B9" i="5"/>
  <c r="B8" i="5"/>
  <c r="B7" i="5"/>
  <c r="B6" i="5"/>
  <c r="B17" i="2" l="1"/>
  <c r="B15" i="2"/>
  <c r="B14" i="2"/>
  <c r="B9" i="2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  <c r="B8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  <c r="E30" i="5" l="1"/>
  <c r="E28" i="5"/>
  <c r="E27" i="5"/>
  <c r="E25" i="5"/>
  <c r="E29" i="5"/>
  <c r="E26" i="5"/>
  <c r="B70" i="5"/>
  <c r="B71" i="5"/>
  <c r="B72" i="5"/>
  <c r="B73" i="5"/>
  <c r="B11" i="2"/>
  <c r="B12" i="2"/>
</calcChain>
</file>

<file path=xl/sharedStrings.xml><?xml version="1.0" encoding="utf-8"?>
<sst xmlns="http://schemas.openxmlformats.org/spreadsheetml/2006/main" count="215" uniqueCount="105">
  <si>
    <t>NAME</t>
  </si>
  <si>
    <t>DEPARTMENT</t>
  </si>
  <si>
    <t>HIRE DATE</t>
  </si>
  <si>
    <t>AGE</t>
  </si>
  <si>
    <t>SEX</t>
  </si>
  <si>
    <t>BIRTH DATE</t>
  </si>
  <si>
    <t>BONUS</t>
  </si>
  <si>
    <t>Anving John</t>
  </si>
  <si>
    <t>Abby Robert</t>
  </si>
  <si>
    <t>Brown Charlie</t>
  </si>
  <si>
    <t>Smith Anna</t>
  </si>
  <si>
    <t>Trevor Emma</t>
  </si>
  <si>
    <t>Carr Joanna</t>
  </si>
  <si>
    <t>Williams Ellen</t>
  </si>
  <si>
    <t>Williams Steve</t>
  </si>
  <si>
    <t>Zara Fleur</t>
  </si>
  <si>
    <t>Administration</t>
  </si>
  <si>
    <t>Accounting</t>
  </si>
  <si>
    <t>IT</t>
  </si>
  <si>
    <t>Legal</t>
  </si>
  <si>
    <t>HR</t>
  </si>
  <si>
    <t>Albert Watson</t>
  </si>
  <si>
    <t>Brent Cary</t>
  </si>
  <si>
    <t>Charlie Down</t>
  </si>
  <si>
    <t>Davidson May</t>
  </si>
  <si>
    <t>Mike Smith</t>
  </si>
  <si>
    <t>Nicholas Piere</t>
  </si>
  <si>
    <t>Peter Carly</t>
  </si>
  <si>
    <t>Marketing</t>
  </si>
  <si>
    <t>M</t>
  </si>
  <si>
    <t>F</t>
  </si>
  <si>
    <t>OVERTIME (hours)</t>
  </si>
  <si>
    <t>ABSENCE (days)</t>
  </si>
  <si>
    <t>AVG SALARY ($)</t>
  </si>
  <si>
    <t>Department</t>
  </si>
  <si>
    <t>SERVICE LENGTH (months)</t>
  </si>
  <si>
    <t>Avg. age (years)</t>
  </si>
  <si>
    <t>Avg. service length (months)</t>
  </si>
  <si>
    <t>Avg. salary ($)</t>
  </si>
  <si>
    <t>Avg. bonus ($)</t>
  </si>
  <si>
    <t>Avg. overtime (hours)</t>
  </si>
  <si>
    <t>Avg. absence (days)</t>
  </si>
  <si>
    <t>Total salary ($)</t>
  </si>
  <si>
    <t>Total bonus ($)</t>
  </si>
  <si>
    <t>Total overtime (hours)</t>
  </si>
  <si>
    <t>Total absence (days)</t>
  </si>
  <si>
    <t>Sex distribution</t>
  </si>
  <si>
    <t>20 - 30</t>
  </si>
  <si>
    <t>30 - 40</t>
  </si>
  <si>
    <t>40 - 50</t>
  </si>
  <si>
    <t>&gt; 50</t>
  </si>
  <si>
    <t>Age distribution (years)</t>
  </si>
  <si>
    <t>KPI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</si>
  <si>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</si>
  <si>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</si>
  <si>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</si>
  <si>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</si>
  <si>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</si>
  <si>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</si>
  <si>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</si>
  <si>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</si>
  <si>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</si>
  <si>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</si>
  <si>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</si>
  <si>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</si>
  <si>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Absence rate</t>
  </si>
  <si>
    <t>Internal promotion rate</t>
  </si>
  <si>
    <t>Turnover rate</t>
  </si>
  <si>
    <t>90-day quit rate (%)</t>
  </si>
  <si>
    <t>Acceptance Ratio (%)</t>
  </si>
  <si>
    <t>SCORE</t>
  </si>
  <si>
    <t>No.</t>
  </si>
  <si>
    <t>Avg. performance score</t>
  </si>
  <si>
    <t>Yearly situation for employees - 2020</t>
  </si>
  <si>
    <t>Yearly statistics per department - 2020</t>
  </si>
  <si>
    <t>No. of absences</t>
  </si>
  <si>
    <t>No. of employees who left the company</t>
  </si>
  <si>
    <t>New hires</t>
  </si>
  <si>
    <t>New hires terminated within the first 90 days of the contract</t>
  </si>
  <si>
    <t>Internal promotions</t>
  </si>
  <si>
    <t>Absence cost ($)</t>
  </si>
  <si>
    <t>Average performance score</t>
  </si>
  <si>
    <t>Average satisfaction score</t>
  </si>
  <si>
    <t>Benefits satisfaction rate</t>
  </si>
  <si>
    <t>Satisfaction rate</t>
  </si>
  <si>
    <t>Engagement rate</t>
  </si>
  <si>
    <t>Job offers</t>
  </si>
  <si>
    <t>Month</t>
  </si>
  <si>
    <t>Average benefits satisfaction score</t>
  </si>
  <si>
    <t>Benefits satisfaction score</t>
  </si>
  <si>
    <t>Work satisfaction score</t>
  </si>
  <si>
    <t>Performance score</t>
  </si>
  <si>
    <t>1 = lowest score</t>
  </si>
  <si>
    <t>5 = highest score</t>
  </si>
  <si>
    <t>HUMAN RESOURCES DASHBOARD</t>
  </si>
  <si>
    <t>by LeaveBoard</t>
  </si>
  <si>
    <t>Age distribution</t>
  </si>
  <si>
    <t>Avg. salary distribution</t>
  </si>
  <si>
    <t>General statistics - 2021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</si>
  <si>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</si>
  <si>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</si>
  <si>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© LeaveBoard</t>
  </si>
  <si>
    <t>Human Resources Dashboard</t>
  </si>
  <si>
    <t>Thank you.</t>
  </si>
  <si>
    <t>https://leaveboard.com/hr-dashboard-template/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</si>
</sst>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0" fontId="3" fillId="0" borderId="0" xfId="0" applyNumberFormat="1" applyFont="1"/>
    <xf numFmtId="0" fontId="0" fillId="0" borderId="6" xfId="0" applyBorder="1"/>
    <xf numFmtId="10" fontId="3" fillId="0" borderId="0" xfId="0" applyNumberFormat="1" applyFont="1" applyAlignment="1">
      <alignment wrapText="1"/>
    </xf>
    <xf numFmtId="0" fontId="8" fillId="0" borderId="0" xfId="0" applyFont="1" applyAlignment="1">
      <alignment vertical="center"/>
    </xf>
    <xf numFmtId="1" fontId="0" fillId="0" borderId="0" xfId="0" applyNumberFormat="1"/>
    <xf numFmtId="0" fontId="9" fillId="0" borderId="0" xfId="0" applyFont="1" applyAlignment="1">
      <alignment horizontal="center" vertical="top"/>
    </xf>
    <xf numFmtId="10" fontId="7" fillId="0" borderId="0" xfId="0" applyNumberFormat="1" applyFont="1"/>
    <xf numFmtId="10" fontId="3" fillId="0" borderId="3" xfId="0" applyNumberFormat="1" applyFont="1" applyBorder="1" applyAlignment="1">
      <alignment vertical="center"/>
    </xf>
    <xf numFmtId="10" fontId="0" fillId="0" borderId="0" xfId="0" applyNumberFormat="1" applyAlignment="1">
      <alignment vertical="center"/>
    </xf>
    <xf numFmtId="10" fontId="3" fillId="0" borderId="4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2" fillId="0" borderId="0" xfId="0" applyFont="1"/>
  </cellXfs>
  <cellStyles count="1">
    <cellStyle name="Normal" xfId="0" builtinId="0"/>
  </cellStyles>
  <dxfs count="57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mm/dd/yy;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mm/dd/yy;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fill>
        <patternFill patternType="none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alignment horizontal="center" vertical="center" textRotation="0" wrapText="1" relativeIndent="0" justifyLastLine="0" shrinkToFit="0" readingOrder="0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%"/>
      <alignment horizontal="general" vertical="bottom" textRotation="0" wrapText="1" indent="0" justifyLastLine="0" shrinkToFit="0" readingOrder="0"/>
    </dxf>
    <dxf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anchor="ctr" anchorCtr="1"/>
          <a:lstStyle/>
          <a:p>
            <a:pPr>
              <a:defRPr sz="1000">
                <a:solidFill>
                  <a:srgbClr val="002060"/>
                </a:solidFill>
              </a:defRPr>
            </a:pPr>
            <a:r>
              <a:rPr lang="en-US" sz="1000">
                <a:solidFill>
                  <a:srgbClr val="002060"/>
                </a:solidFill>
              </a:rPr>
              <a:t>Avg. age</a:t>
            </a:r>
          </a:p>
        </c:rich>
      </c:tx>
      <c:layout>
        <c:manualLayout>
          <c:xMode val="edge"/>
          <c:yMode val="edge"/>
          <c:x val="0.2989809425995663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983224922971583"/>
          <c:y val="0.10496869455563865"/>
          <c:w val="0.5003054509490662"/>
          <c:h val="0.77142069531811319"/>
        </c:manualLayout>
      </c:layout>
      <c:doughnut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5">
                        <a:lumMod val="20000"/>
                        <a:lumOff val="80000"/>
                      </a:schemeClr>
                    </a:solidFill>
                  </a:defRPr>
                </a:pPr>
                <a:endParaRPr lang="en-B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GeneralStatistics!$D$25:$D$30</c:f>
              <c:strCache>
                <c:ptCount val="6"/>
                <c:pt idx="0">
                  <c:v>Administration</c:v>
                </c:pt>
                <c:pt idx="1">
                  <c:v>Accounting</c:v>
                </c:pt>
                <c:pt idx="2">
                  <c:v>IT</c:v>
                </c:pt>
                <c:pt idx="3">
                  <c:v>Legal</c:v>
                </c:pt>
                <c:pt idx="4">
                  <c:v>HR</c:v>
                </c:pt>
                <c:pt idx="5">
                  <c:v>Marketing</c:v>
                </c:pt>
              </c:strCache>
            </c:strRef>
          </c:cat>
          <c:val>
            <c:numRef>
              <c:f>GeneralStatistics!$E$25:$E$30</c:f>
              <c:numCache>
                <c:formatCode>0</c:formatCode>
                <c:ptCount val="6"/>
                <c:pt idx="0">
                  <c:v>40</c:v>
                </c:pt>
                <c:pt idx="1">
                  <c:v>42.5</c:v>
                </c:pt>
                <c:pt idx="2">
                  <c:v>45.5</c:v>
                </c:pt>
                <c:pt idx="3">
                  <c:v>39</c:v>
                </c:pt>
                <c:pt idx="4">
                  <c:v>32.5</c:v>
                </c:pt>
                <c:pt idx="5">
                  <c:v>34.666666666666664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D-7D49-B29B-F3101877F7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1235823243654095"/>
          <c:y val="0.12704002624671917"/>
          <c:w val="0.28764176756345899"/>
          <c:h val="0.65124032997336168"/>
        </c:manualLayout>
      </c:layout>
      <c:overlay val="0"/>
      <c:txPr>
        <a:bodyPr/>
        <a:lstStyle/>
        <a:p>
          <a:pPr>
            <a:defRPr sz="800"/>
          </a:pPr>
          <a:endParaRPr lang="en-B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73809523809524E-2"/>
          <c:y val="0"/>
          <c:w val="0.93452380952380953"/>
          <c:h val="0.84174085064292781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Lbls>
            <c:dLbl>
              <c:idx val="0"/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n-B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EC-5647-875A-468D35E8AA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B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('KPI per month'!$A$4,'KPI per month'!$A$5:$A$11)</c:f>
              <c:strCache>
                <c:ptCount val="8"/>
                <c:pt idx="0">
                  <c:v>Absence rate</c:v>
                </c:pt>
                <c:pt idx="1">
                  <c:v>Benefits satisfaction rate</c:v>
                </c:pt>
                <c:pt idx="2">
                  <c:v>Satisfaction rate</c:v>
                </c:pt>
                <c:pt idx="3">
                  <c:v>Engagement rate</c:v>
                </c:pt>
                <c:pt idx="4">
                  <c:v>Internal promotion rate</c:v>
                </c:pt>
                <c:pt idx="5">
                  <c:v>Turnover rate</c:v>
                </c:pt>
                <c:pt idx="6">
                  <c:v>90-day quit rate (%)</c:v>
                </c:pt>
                <c:pt idx="7">
                  <c:v>Acceptance Ratio (%)</c:v>
                </c:pt>
              </c:strCache>
            </c:strRef>
          </c:cat>
          <c:val>
            <c:numRef>
              <c:f>('KPI per month'!$B$4,'KPI per month'!$B$5:$B$11)</c:f>
              <c:numCache>
                <c:formatCode>0.00%</c:formatCode>
                <c:ptCount val="8"/>
                <c:pt idx="0">
                  <c:v>4.5454545454545456E-2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6.25E-2</c:v>
                </c:pt>
                <c:pt idx="5">
                  <c:v>6.25E-2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EC-5647-875A-468D35E8AA60}"/>
            </c:ext>
          </c:extLst>
        </c:ser>
        <c:ser>
          <c:idx val="1"/>
          <c:order val="1"/>
          <c:invertIfNegative val="0"/>
          <c:cat>
            <c:strRef>
              <c:f>('KPI per month'!$A$4,'KPI per month'!$A$5:$A$11)</c:f>
              <c:strCache>
                <c:ptCount val="8"/>
                <c:pt idx="0">
                  <c:v>Absence rate</c:v>
                </c:pt>
                <c:pt idx="1">
                  <c:v>Benefits satisfaction rate</c:v>
                </c:pt>
                <c:pt idx="2">
                  <c:v>Satisfaction rate</c:v>
                </c:pt>
                <c:pt idx="3">
                  <c:v>Engagement rate</c:v>
                </c:pt>
                <c:pt idx="4">
                  <c:v>Internal promotion rate</c:v>
                </c:pt>
                <c:pt idx="5">
                  <c:v>Turnover rate</c:v>
                </c:pt>
                <c:pt idx="6">
                  <c:v>90-day quit rate (%)</c:v>
                </c:pt>
                <c:pt idx="7">
                  <c:v>Acceptance Ratio (%)</c:v>
                </c:pt>
              </c:strCache>
            </c:strRef>
          </c:cat>
          <c:val>
            <c:numRef>
              <c:f>('KPI per month'!$C$4,'KPI per month'!$C$6:$C$12)</c:f>
              <c:numCache>
                <c:formatCode>0.00%</c:formatCode>
                <c:ptCount val="8"/>
                <c:pt idx="0">
                  <c:v>0.95454545454545459</c:v>
                </c:pt>
                <c:pt idx="1">
                  <c:v>9.9999999999999978E-2</c:v>
                </c:pt>
                <c:pt idx="2">
                  <c:v>0</c:v>
                </c:pt>
                <c:pt idx="3">
                  <c:v>0</c:v>
                </c:pt>
                <c:pt idx="4">
                  <c:v>0.9375</c:v>
                </c:pt>
                <c:pt idx="5">
                  <c:v>0.9375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EC-5647-875A-468D35E8A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axId val="166282368"/>
        <c:axId val="166302464"/>
      </c:barChart>
      <c:catAx>
        <c:axId val="166282368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one"/>
        <c:crossAx val="166302464"/>
        <c:crosses val="autoZero"/>
        <c:auto val="1"/>
        <c:lblAlgn val="ctr"/>
        <c:lblOffset val="100"/>
        <c:noMultiLvlLbl val="0"/>
      </c:catAx>
      <c:valAx>
        <c:axId val="16630246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662823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1.7543859649122841E-2"/>
                  <c:y val="2.57648953301127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9E-D145-8AF7-D5B64163B55A}"/>
                </c:ext>
              </c:extLst>
            </c:dLbl>
            <c:dLbl>
              <c:idx val="2"/>
              <c:layout>
                <c:manualLayout>
                  <c:x val="-1.405548818328292E-2"/>
                  <c:y val="6.91377551605175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9E-D145-8AF7-D5B64163B55A}"/>
                </c:ext>
              </c:extLst>
            </c:dLbl>
            <c:dLbl>
              <c:idx val="3"/>
              <c:layout>
                <c:manualLayout>
                  <c:x val="-8.1148251262518359E-2"/>
                  <c:y val="7.678712650001722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9E-D145-8AF7-D5B64163B5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GeneralStatistics!$A$70:$A$73</c:f>
              <c:strCache>
                <c:ptCount val="4"/>
                <c:pt idx="0">
                  <c:v>20 - 30</c:v>
                </c:pt>
                <c:pt idx="1">
                  <c:v>30 - 40</c:v>
                </c:pt>
                <c:pt idx="2">
                  <c:v>40 - 50</c:v>
                </c:pt>
                <c:pt idx="3">
                  <c:v>&gt; 50</c:v>
                </c:pt>
              </c:strCache>
            </c:strRef>
          </c:cat>
          <c:val>
            <c:numRef>
              <c:f>GeneralStatistics!$B$70:$B$73</c:f>
              <c:numCache>
                <c:formatCode>General</c:formatCode>
                <c:ptCount val="4"/>
                <c:pt idx="0">
                  <c:v>1</c:v>
                </c:pt>
                <c:pt idx="1">
                  <c:v>9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9E-D145-8AF7-D5B64163B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3.5087719298245591E-2"/>
                  <c:y val="6.441223832528193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1A-FB48-B30D-2212CCC609CE}"/>
                </c:ext>
              </c:extLst>
            </c:dLbl>
            <c:dLbl>
              <c:idx val="3"/>
              <c:layout>
                <c:manualLayout>
                  <c:x val="-2.92397660818714E-3"/>
                  <c:y val="2.576489533011258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1A-FB48-B30D-2212CCC60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BE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GeneralStatistics!$D$15:$D$20</c:f>
              <c:strCache>
                <c:ptCount val="6"/>
                <c:pt idx="0">
                  <c:v>Administration</c:v>
                </c:pt>
                <c:pt idx="1">
                  <c:v>Accounting</c:v>
                </c:pt>
                <c:pt idx="2">
                  <c:v>IT</c:v>
                </c:pt>
                <c:pt idx="3">
                  <c:v>Legal</c:v>
                </c:pt>
                <c:pt idx="4">
                  <c:v>HR</c:v>
                </c:pt>
                <c:pt idx="5">
                  <c:v>Marketing</c:v>
                </c:pt>
              </c:strCache>
            </c:strRef>
          </c:cat>
          <c:val>
            <c:numRef>
              <c:f>GeneralStatistics!$E$15:$E$20</c:f>
              <c:numCache>
                <c:formatCode>General</c:formatCode>
                <c:ptCount val="6"/>
                <c:pt idx="0">
                  <c:v>40</c:v>
                </c:pt>
                <c:pt idx="1">
                  <c:v>45</c:v>
                </c:pt>
                <c:pt idx="2">
                  <c:v>0</c:v>
                </c:pt>
                <c:pt idx="3">
                  <c:v>15</c:v>
                </c:pt>
                <c:pt idx="4">
                  <c:v>5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1A-FB48-B30D-2212CCC60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800"/>
      </a:pPr>
      <a:endParaRPr lang="en-BE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7831310671015233E-2"/>
                  <c:y val="4.4444444444444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BC-0D47-9415-79308B6023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B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GeneralStatistics!$D$6:$D$11</c:f>
              <c:strCache>
                <c:ptCount val="6"/>
                <c:pt idx="0">
                  <c:v>Administration</c:v>
                </c:pt>
                <c:pt idx="1">
                  <c:v>Accounting</c:v>
                </c:pt>
                <c:pt idx="2">
                  <c:v>IT</c:v>
                </c:pt>
                <c:pt idx="3">
                  <c:v>Legal</c:v>
                </c:pt>
                <c:pt idx="4">
                  <c:v>HR</c:v>
                </c:pt>
                <c:pt idx="5">
                  <c:v>Marketing</c:v>
                </c:pt>
              </c:strCache>
            </c:strRef>
          </c:cat>
          <c:val>
            <c:numRef>
              <c:f>GeneralStatistics!$E$6:$E$11</c:f>
              <c:numCache>
                <c:formatCode>General</c:formatCode>
                <c:ptCount val="6"/>
                <c:pt idx="0">
                  <c:v>90000</c:v>
                </c:pt>
                <c:pt idx="1">
                  <c:v>174000</c:v>
                </c:pt>
                <c:pt idx="2">
                  <c:v>72000</c:v>
                </c:pt>
                <c:pt idx="3">
                  <c:v>102000</c:v>
                </c:pt>
                <c:pt idx="4">
                  <c:v>78000</c:v>
                </c:pt>
                <c:pt idx="5">
                  <c:v>97200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C-0D47-9415-79308B60238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14"/>
            <c:extLst>
              <c:ext xmlns:c16="http://schemas.microsoft.com/office/drawing/2014/chart" uri="{C3380CC4-5D6E-409C-BE32-E72D297353CC}">
                <c16:uniqueId val="{00000000-732F-7743-8394-8C2DCB0FC0B3}"/>
              </c:ext>
            </c:extLst>
          </c:dPt>
          <c:dLbls>
            <c:dLbl>
              <c:idx val="0"/>
              <c:layout>
                <c:manualLayout>
                  <c:x val="-0.21154264788566857"/>
                  <c:y val="-0.1642312668662896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2F-7743-8394-8C2DCB0FC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5">
                        <a:lumMod val="20000"/>
                        <a:lumOff val="80000"/>
                      </a:schemeClr>
                    </a:solidFill>
                  </a:defRPr>
                </a:pPr>
                <a:endParaRPr lang="en-BE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GeneralStatistics!$A$25:$A$26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GeneralStatistics!$B$25:$B$26</c:f>
              <c:numCache>
                <c:formatCode>General</c:formatCode>
                <c:ptCount val="2"/>
                <c:pt idx="0">
                  <c:v>11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F-7743-8394-8C2DCB0F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000">
                <a:solidFill>
                  <a:srgbClr val="002060"/>
                </a:solidFill>
              </a:defRPr>
            </a:pPr>
            <a:r>
              <a:rPr lang="en-US" sz="1000">
                <a:solidFill>
                  <a:srgbClr val="002060"/>
                </a:solidFill>
              </a:rPr>
              <a:t>Benefits satisfaction rate</a:t>
            </a:r>
          </a:p>
        </c:rich>
      </c:tx>
      <c:layout>
        <c:manualLayout>
          <c:xMode val="edge"/>
          <c:yMode val="edge"/>
          <c:x val="0.24736375344386299"/>
          <c:y val="4.0417382525830426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KPI!$A$5</c:f>
              <c:strCache>
                <c:ptCount val="1"/>
                <c:pt idx="0">
                  <c:v>Benefits satisfaction rate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0-370E-114D-97D2-400912E752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720000"/>
              <a:lstStyle/>
              <a:p>
                <a:pPr>
                  <a:defRPr sz="600"/>
                </a:pPr>
                <a:endParaRPr lang="en-B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KPI!$B$2:$M$2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KPI!$B$5:$M$5</c:f>
              <c:numCache>
                <c:formatCode>0.00%</c:formatCode>
                <c:ptCount val="12"/>
                <c:pt idx="0">
                  <c:v>1</c:v>
                </c:pt>
                <c:pt idx="1">
                  <c:v>0.9</c:v>
                </c:pt>
                <c:pt idx="2">
                  <c:v>1</c:v>
                </c:pt>
                <c:pt idx="3">
                  <c:v>0.8</c:v>
                </c:pt>
                <c:pt idx="4">
                  <c:v>0.8</c:v>
                </c:pt>
                <c:pt idx="5">
                  <c:v>0.6</c:v>
                </c:pt>
                <c:pt idx="6">
                  <c:v>1</c:v>
                </c:pt>
                <c:pt idx="7">
                  <c:v>1</c:v>
                </c:pt>
                <c:pt idx="8">
                  <c:v>0.9</c:v>
                </c:pt>
                <c:pt idx="9">
                  <c:v>1</c:v>
                </c:pt>
                <c:pt idx="10">
                  <c:v>1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E-114D-97D2-400912E7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73824"/>
        <c:axId val="106998784"/>
      </c:barChart>
      <c:catAx>
        <c:axId val="106973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BE"/>
          </a:p>
        </c:txPr>
        <c:crossAx val="106998784"/>
        <c:crosses val="autoZero"/>
        <c:auto val="1"/>
        <c:lblAlgn val="ctr"/>
        <c:lblOffset val="100"/>
        <c:noMultiLvlLbl val="0"/>
      </c:catAx>
      <c:valAx>
        <c:axId val="106998784"/>
        <c:scaling>
          <c:orientation val="minMax"/>
          <c:max val="1"/>
        </c:scaling>
        <c:delete val="1"/>
        <c:axPos val="l"/>
        <c:majorGridlines/>
        <c:numFmt formatCode="0.00%" sourceLinked="1"/>
        <c:majorTickMark val="out"/>
        <c:minorTickMark val="none"/>
        <c:tickLblPos val="none"/>
        <c:crossAx val="106973824"/>
        <c:crosses val="autoZero"/>
        <c:crossBetween val="between"/>
      </c:valAx>
    </c:plotArea>
    <c:plotVisOnly val="1"/>
    <c:dispBlanksAs val="gap"/>
    <c:showDLblsOverMax val="0"/>
  </c:chart>
  <c:spPr>
    <a:ln cap="sq" cmpd="thickThin"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overlay val="0"/>
      <c:txPr>
        <a:bodyPr/>
        <a:lstStyle/>
        <a:p>
          <a:pPr>
            <a:defRPr sz="1000">
              <a:solidFill>
                <a:srgbClr val="002060"/>
              </a:solidFill>
            </a:defRPr>
          </a:pPr>
          <a:endParaRPr lang="en-B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KPI!$A$3</c:f>
              <c:strCache>
                <c:ptCount val="1"/>
                <c:pt idx="0">
                  <c:v>Absence rate</c:v>
                </c:pt>
              </c:strCache>
            </c:strRef>
          </c:tx>
          <c:invertIfNegative val="0"/>
          <c:dPt>
            <c:idx val="4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0-266F-874A-9536-F12075CA1349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266F-874A-9536-F12075CA13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720000"/>
              <a:lstStyle/>
              <a:p>
                <a:pPr>
                  <a:defRPr sz="600"/>
                </a:pPr>
                <a:endParaRPr lang="en-B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KPI!$B$2:$M$2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KPI!$B$3:$M$3</c:f>
              <c:numCache>
                <c:formatCode>0.00%</c:formatCode>
                <c:ptCount val="12"/>
                <c:pt idx="0">
                  <c:v>4.7619047619047616E-2</c:v>
                </c:pt>
                <c:pt idx="1">
                  <c:v>0.05</c:v>
                </c:pt>
                <c:pt idx="2">
                  <c:v>0</c:v>
                </c:pt>
                <c:pt idx="3">
                  <c:v>4.5454545454545456E-2</c:v>
                </c:pt>
                <c:pt idx="4">
                  <c:v>9.5238095238095233E-2</c:v>
                </c:pt>
                <c:pt idx="5">
                  <c:v>9.0909090909090912E-2</c:v>
                </c:pt>
                <c:pt idx="6">
                  <c:v>0</c:v>
                </c:pt>
                <c:pt idx="7">
                  <c:v>0</c:v>
                </c:pt>
                <c:pt idx="8">
                  <c:v>4.5454545454545456E-2</c:v>
                </c:pt>
                <c:pt idx="9">
                  <c:v>0</c:v>
                </c:pt>
                <c:pt idx="10">
                  <c:v>4.5454545454545456E-2</c:v>
                </c:pt>
                <c:pt idx="11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6F-874A-9536-F12075CA13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396992"/>
        <c:axId val="51398528"/>
      </c:barChart>
      <c:catAx>
        <c:axId val="5139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BE"/>
          </a:p>
        </c:txPr>
        <c:crossAx val="51398528"/>
        <c:crosses val="autoZero"/>
        <c:auto val="1"/>
        <c:lblAlgn val="ctr"/>
        <c:lblOffset val="100"/>
        <c:noMultiLvlLbl val="0"/>
      </c:catAx>
      <c:valAx>
        <c:axId val="51398528"/>
        <c:scaling>
          <c:orientation val="minMax"/>
        </c:scaling>
        <c:delete val="1"/>
        <c:axPos val="l"/>
        <c:majorGridlines/>
        <c:numFmt formatCode="0.00%" sourceLinked="1"/>
        <c:majorTickMark val="out"/>
        <c:minorTickMark val="none"/>
        <c:tickLblPos val="none"/>
        <c:crossAx val="51396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layout>
        <c:manualLayout>
          <c:xMode val="edge"/>
          <c:yMode val="edge"/>
          <c:x val="0.32032660301751831"/>
          <c:y val="1.2759170653907496E-2"/>
        </c:manualLayout>
      </c:layout>
      <c:overlay val="0"/>
      <c:txPr>
        <a:bodyPr/>
        <a:lstStyle/>
        <a:p>
          <a:pPr>
            <a:defRPr sz="1050">
              <a:solidFill>
                <a:srgbClr val="002060"/>
              </a:solidFill>
            </a:defRPr>
          </a:pPr>
          <a:endParaRPr lang="en-B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KPI!$A$7</c:f>
              <c:strCache>
                <c:ptCount val="1"/>
                <c:pt idx="0">
                  <c:v>Engagement rate</c:v>
                </c:pt>
              </c:strCache>
            </c:strRef>
          </c:tx>
          <c:invertIfNegative val="0"/>
          <c:dPt>
            <c:idx val="4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0-0FA3-744C-908F-550A7D6B3CA4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0FA3-744C-908F-550A7D6B3CA4}"/>
              </c:ext>
            </c:extLst>
          </c:dPt>
          <c:dLbls>
            <c:dLbl>
              <c:idx val="2"/>
              <c:layout>
                <c:manualLayout>
                  <c:x val="-4.670170152317416E-3"/>
                  <c:y val="1.9138755980861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A3-744C-908F-550A7D6B3CA4}"/>
                </c:ext>
              </c:extLst>
            </c:dLbl>
            <c:dLbl>
              <c:idx val="3"/>
              <c:layout>
                <c:manualLayout>
                  <c:x val="0"/>
                  <c:y val="2.55183413078149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A3-744C-908F-550A7D6B3CA4}"/>
                </c:ext>
              </c:extLst>
            </c:dLbl>
            <c:dLbl>
              <c:idx val="6"/>
              <c:layout>
                <c:manualLayout>
                  <c:x val="-4.670170152317416E-3"/>
                  <c:y val="2.55183413078149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A3-744C-908F-550A7D6B3CA4}"/>
                </c:ext>
              </c:extLst>
            </c:dLbl>
            <c:dLbl>
              <c:idx val="7"/>
              <c:layout>
                <c:manualLayout>
                  <c:x val="-9.340340304634832E-3"/>
                  <c:y val="5.10366826156299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A3-744C-908F-550A7D6B3CA4}"/>
                </c:ext>
              </c:extLst>
            </c:dLbl>
            <c:dLbl>
              <c:idx val="8"/>
              <c:layout>
                <c:manualLayout>
                  <c:x val="1.401051045695233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A3-744C-908F-550A7D6B3CA4}"/>
                </c:ext>
              </c:extLst>
            </c:dLbl>
            <c:dLbl>
              <c:idx val="9"/>
              <c:layout>
                <c:manualLayout>
                  <c:x val="-8.5618797050169627E-17"/>
                  <c:y val="2.55183413078149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A3-744C-908F-550A7D6B3CA4}"/>
                </c:ext>
              </c:extLst>
            </c:dLbl>
            <c:dLbl>
              <c:idx val="10"/>
              <c:layout>
                <c:manualLayout>
                  <c:x val="-3.6772993325333982E-7"/>
                  <c:y val="3.82775119617224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A3-744C-908F-550A7D6B3CA4}"/>
                </c:ext>
              </c:extLst>
            </c:dLbl>
            <c:dLbl>
              <c:idx val="11"/>
              <c:layout>
                <c:manualLayout>
                  <c:x val="1.401051045695224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A3-744C-908F-550A7D6B3C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720000"/>
              <a:lstStyle/>
              <a:p>
                <a:pPr>
                  <a:defRPr sz="600"/>
                </a:pPr>
                <a:endParaRPr lang="en-B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KPI!$B$2:$M$2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KPI!$B$7:$M$7</c:f>
              <c:numCache>
                <c:formatCode>0.00%</c:formatCode>
                <c:ptCount val="12"/>
                <c:pt idx="0">
                  <c:v>0.7</c:v>
                </c:pt>
                <c:pt idx="1">
                  <c:v>0.8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0.8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A3-744C-908F-550A7D6B3C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9409408"/>
        <c:axId val="96512256"/>
      </c:barChart>
      <c:catAx>
        <c:axId val="8940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BE"/>
          </a:p>
        </c:txPr>
        <c:crossAx val="96512256"/>
        <c:crosses val="autoZero"/>
        <c:auto val="1"/>
        <c:lblAlgn val="ctr"/>
        <c:lblOffset val="100"/>
        <c:noMultiLvlLbl val="0"/>
      </c:catAx>
      <c:valAx>
        <c:axId val="96512256"/>
        <c:scaling>
          <c:orientation val="minMax"/>
          <c:max val="1"/>
        </c:scaling>
        <c:delete val="1"/>
        <c:axPos val="l"/>
        <c:majorGridlines/>
        <c:numFmt formatCode="0.00%" sourceLinked="1"/>
        <c:majorTickMark val="out"/>
        <c:minorTickMark val="none"/>
        <c:tickLblPos val="none"/>
        <c:crossAx val="89409408"/>
        <c:crosses val="autoZero"/>
        <c:crossBetween val="between"/>
      </c:valAx>
    </c:plotArea>
    <c:plotVisOnly val="1"/>
    <c:dispBlanksAs val="gap"/>
    <c:showDLblsOverMax val="0"/>
  </c:chart>
  <c:spPr>
    <a:ln cap="sq" cmpd="dbl"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>
        <c:manualLayout>
          <c:xMode val="edge"/>
          <c:yMode val="edge"/>
          <c:x val="0.33174947759725881"/>
          <c:y val="0"/>
        </c:manualLayout>
      </c:layout>
      <c:overlay val="0"/>
      <c:txPr>
        <a:bodyPr/>
        <a:lstStyle/>
        <a:p>
          <a:pPr>
            <a:defRPr sz="1000">
              <a:solidFill>
                <a:srgbClr val="002060"/>
              </a:solidFill>
            </a:defRPr>
          </a:pPr>
          <a:endParaRPr lang="en-B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KPI!$A$6</c:f>
              <c:strCache>
                <c:ptCount val="1"/>
                <c:pt idx="0">
                  <c:v>Satisfaction rate</c:v>
                </c:pt>
              </c:strCache>
            </c:strRef>
          </c:tx>
          <c:invertIfNegative val="0"/>
          <c:dPt>
            <c:idx val="4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0-E140-0A48-AAC5-FB84AEE3EE99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140-0A48-AAC5-FB84AEE3EE99}"/>
              </c:ext>
            </c:extLst>
          </c:dPt>
          <c:dLbls>
            <c:dLbl>
              <c:idx val="2"/>
              <c:layout>
                <c:manualLayout>
                  <c:x val="4.8233477375460784E-3"/>
                  <c:y val="3.18979106115055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40-0A48-AAC5-FB84AEE3EE99}"/>
                </c:ext>
              </c:extLst>
            </c:dLbl>
            <c:dLbl>
              <c:idx val="5"/>
              <c:layout>
                <c:manualLayout>
                  <c:x val="0"/>
                  <c:y val="1.91387463669033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40-0A48-AAC5-FB84AEE3EE99}"/>
                </c:ext>
              </c:extLst>
            </c:dLbl>
            <c:dLbl>
              <c:idx val="6"/>
              <c:layout>
                <c:manualLayout>
                  <c:x val="0"/>
                  <c:y val="2.5518328489204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40-0A48-AAC5-FB84AEE3EE99}"/>
                </c:ext>
              </c:extLst>
            </c:dLbl>
            <c:dLbl>
              <c:idx val="7"/>
              <c:layout>
                <c:manualLayout>
                  <c:x val="0"/>
                  <c:y val="4.4657074856107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40-0A48-AAC5-FB84AEE3EE99}"/>
                </c:ext>
              </c:extLst>
            </c:dLbl>
            <c:dLbl>
              <c:idx val="8"/>
              <c:layout>
                <c:manualLayout>
                  <c:x val="-4.8233477375460784E-3"/>
                  <c:y val="5.1036656978408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40-0A48-AAC5-FB84AEE3EE99}"/>
                </c:ext>
              </c:extLst>
            </c:dLbl>
            <c:dLbl>
              <c:idx val="9"/>
              <c:layout>
                <c:manualLayout>
                  <c:x val="-4.8233477375460784E-3"/>
                  <c:y val="3.8277492733806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40-0A48-AAC5-FB84AEE3EE99}"/>
                </c:ext>
              </c:extLst>
            </c:dLbl>
            <c:dLbl>
              <c:idx val="10"/>
              <c:layout>
                <c:manualLayout>
                  <c:x val="0"/>
                  <c:y val="4.4657074856107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40-0A48-AAC5-FB84AEE3EE99}"/>
                </c:ext>
              </c:extLst>
            </c:dLbl>
            <c:dLbl>
              <c:idx val="11"/>
              <c:layout>
                <c:manualLayout>
                  <c:x val="4.8233477375460784E-3"/>
                  <c:y val="5.1036656978408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40-0A48-AAC5-FB84AEE3EE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720000"/>
              <a:lstStyle/>
              <a:p>
                <a:pPr>
                  <a:defRPr sz="600"/>
                </a:pPr>
                <a:endParaRPr lang="en-B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KPI!$B$2:$M$2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KPI!$B$6:$M$6</c:f>
              <c:numCache>
                <c:formatCode>0.00%</c:formatCode>
                <c:ptCount val="12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0.8</c:v>
                </c:pt>
                <c:pt idx="4">
                  <c:v>0.6</c:v>
                </c:pt>
                <c:pt idx="5">
                  <c:v>0.6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40-0A48-AAC5-FB84AEE3EE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9453568"/>
        <c:axId val="119459840"/>
      </c:barChart>
      <c:catAx>
        <c:axId val="11945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BE"/>
          </a:p>
        </c:txPr>
        <c:crossAx val="119459840"/>
        <c:crosses val="autoZero"/>
        <c:auto val="1"/>
        <c:lblAlgn val="ctr"/>
        <c:lblOffset val="100"/>
        <c:noMultiLvlLbl val="0"/>
      </c:catAx>
      <c:valAx>
        <c:axId val="119459840"/>
        <c:scaling>
          <c:orientation val="minMax"/>
          <c:max val="1"/>
        </c:scaling>
        <c:delete val="1"/>
        <c:axPos val="l"/>
        <c:majorGridlines/>
        <c:numFmt formatCode="0.00%" sourceLinked="1"/>
        <c:majorTickMark val="out"/>
        <c:minorTickMark val="none"/>
        <c:tickLblPos val="none"/>
        <c:crossAx val="119453568"/>
        <c:crosses val="autoZero"/>
        <c:crossBetween val="between"/>
      </c:valAx>
    </c:plotArea>
    <c:plotVisOnly val="1"/>
    <c:dispBlanksAs val="gap"/>
    <c:showDLblsOverMax val="0"/>
  </c:chart>
  <c:spPr>
    <a:ln cap="sq" cmpd="dbl"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 sz="1000">
                <a:solidFill>
                  <a:srgbClr val="002060"/>
                </a:solidFill>
              </a:defRPr>
            </a:pPr>
            <a:r>
              <a:rPr lang="en-US" sz="1000">
                <a:solidFill>
                  <a:srgbClr val="002060"/>
                </a:solidFill>
              </a:rPr>
              <a:t>Bonus</a:t>
            </a:r>
          </a:p>
        </c:rich>
      </c:tx>
      <c:layout>
        <c:manualLayout>
          <c:xMode val="edge"/>
          <c:yMode val="edge"/>
          <c:x val="0.3504621704895583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1904786250625"/>
          <c:y val="9.9999947506589235E-2"/>
          <c:w val="0.62069001719612638"/>
          <c:h val="0.90000005249341075"/>
        </c:manualLayout>
      </c:layout>
      <c:pieChart>
        <c:varyColors val="1"/>
        <c:ser>
          <c:idx val="0"/>
          <c:order val="0"/>
          <c:explosion val="2"/>
          <c:dLbls>
            <c:dLbl>
              <c:idx val="0"/>
              <c:layout>
                <c:manualLayout>
                  <c:x val="7.5975020363833912E-2"/>
                  <c:y val="0.123703872071458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1-FE46-B438-DBEF0130D907}"/>
                </c:ext>
              </c:extLst>
            </c:dLbl>
            <c:dLbl>
              <c:idx val="1"/>
              <c:layout>
                <c:manualLayout>
                  <c:x val="8.144996202361162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1-FE46-B438-DBEF0130D907}"/>
                </c:ext>
              </c:extLst>
            </c:dLbl>
            <c:dLbl>
              <c:idx val="2"/>
              <c:layout>
                <c:manualLayout>
                  <c:x val="8.2125603864734303E-2"/>
                  <c:y val="6.6666666666666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1-FE46-B438-DBEF0130D907}"/>
                </c:ext>
              </c:extLst>
            </c:dLbl>
            <c:dLbl>
              <c:idx val="5"/>
              <c:layout>
                <c:manualLayout>
                  <c:x val="-3.878569620171982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1-FE46-B438-DBEF0130D907}"/>
                </c:ext>
              </c:extLst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800">
                    <a:solidFill>
                      <a:srgbClr val="002060"/>
                    </a:solidFill>
                  </a:defRPr>
                </a:pPr>
                <a:endParaRPr lang="en-B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GeneralStatistics!$A$6:$A$11</c:f>
              <c:strCache>
                <c:ptCount val="6"/>
                <c:pt idx="0">
                  <c:v>Administration</c:v>
                </c:pt>
                <c:pt idx="1">
                  <c:v>Accounting</c:v>
                </c:pt>
                <c:pt idx="2">
                  <c:v>IT</c:v>
                </c:pt>
                <c:pt idx="3">
                  <c:v>Legal</c:v>
                </c:pt>
                <c:pt idx="4">
                  <c:v>HR</c:v>
                </c:pt>
                <c:pt idx="5">
                  <c:v>Marketing</c:v>
                </c:pt>
              </c:strCache>
            </c:strRef>
          </c:cat>
          <c:val>
            <c:numRef>
              <c:f>GeneralStatistics!$B$6:$B$11</c:f>
              <c:numCache>
                <c:formatCode>General</c:formatCode>
                <c:ptCount val="6"/>
                <c:pt idx="0">
                  <c:v>1700</c:v>
                </c:pt>
                <c:pt idx="1">
                  <c:v>3700</c:v>
                </c:pt>
                <c:pt idx="2">
                  <c:v>0</c:v>
                </c:pt>
                <c:pt idx="3">
                  <c:v>500</c:v>
                </c:pt>
                <c:pt idx="4">
                  <c:v>1000</c:v>
                </c:pt>
                <c:pt idx="5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1-FE46-B438-DBEF0130D9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>
                <a:solidFill>
                  <a:srgbClr val="002060"/>
                </a:solidFill>
              </a:defRPr>
            </a:pPr>
            <a:r>
              <a:rPr lang="en-US" sz="1000">
                <a:solidFill>
                  <a:srgbClr val="002060"/>
                </a:solidFill>
              </a:rPr>
              <a:t>Absence</a:t>
            </a:r>
          </a:p>
        </c:rich>
      </c:tx>
      <c:layout>
        <c:manualLayout>
          <c:xMode val="edge"/>
          <c:yMode val="edge"/>
          <c:x val="0.4011682651818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38782652168478"/>
          <c:y val="0.11276640419947506"/>
          <c:w val="0.64640253301670625"/>
          <c:h val="0.81446719160104986"/>
        </c:manualLayout>
      </c:layout>
      <c:pieChart>
        <c:varyColors val="1"/>
        <c:ser>
          <c:idx val="0"/>
          <c:order val="0"/>
          <c:explosion val="2"/>
          <c:dLbls>
            <c:dLbl>
              <c:idx val="0"/>
              <c:layout>
                <c:manualLayout>
                  <c:x val="-4.1940790920687986E-3"/>
                  <c:y val="-0.211877165354330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A9-C540-9409-DE6AEBEED012}"/>
                </c:ext>
              </c:extLst>
            </c:dLbl>
            <c:dLbl>
              <c:idx val="1"/>
              <c:layout>
                <c:manualLayout>
                  <c:x val="-5.0145222417945411E-2"/>
                  <c:y val="8.815945576058706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41575058795456"/>
                      <c:h val="0.146445011531103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CA9-C540-9409-DE6AEBEED012}"/>
                </c:ext>
              </c:extLst>
            </c:dLbl>
            <c:dLbl>
              <c:idx val="2"/>
              <c:layout>
                <c:manualLayout>
                  <c:x val="5.072956602831602E-2"/>
                  <c:y val="-3.9491341692231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9-C540-9409-DE6AEBEED012}"/>
                </c:ext>
              </c:extLst>
            </c:dLbl>
            <c:dLbl>
              <c:idx val="3"/>
              <c:layout>
                <c:manualLayout>
                  <c:x val="3.4604696728492097E-2"/>
                  <c:y val="-1.1916529944216158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A9-C540-9409-DE6AEBEED012}"/>
                </c:ext>
              </c:extLst>
            </c:dLbl>
            <c:dLbl>
              <c:idx val="4"/>
              <c:layout>
                <c:manualLayout>
                  <c:x val="-1.058201058201058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A9-C540-9409-DE6AEBEED0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B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GeneralStatistics!$A$15:$A$20</c:f>
              <c:strCache>
                <c:ptCount val="6"/>
                <c:pt idx="0">
                  <c:v>Administration</c:v>
                </c:pt>
                <c:pt idx="1">
                  <c:v>Accounting</c:v>
                </c:pt>
                <c:pt idx="2">
                  <c:v>IT</c:v>
                </c:pt>
                <c:pt idx="3">
                  <c:v>Legal</c:v>
                </c:pt>
                <c:pt idx="4">
                  <c:v>HR</c:v>
                </c:pt>
                <c:pt idx="5">
                  <c:v>Marketing</c:v>
                </c:pt>
              </c:strCache>
            </c:strRef>
          </c:cat>
          <c:val>
            <c:numRef>
              <c:f>GeneralStatistics!$B$15:$B$20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A9-C540-9409-DE6AEBEED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>
      <c:oddFooter>&amp;CLeaveBoard.com</c:oddFooter>
    </c:headerFooter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000">
                <a:solidFill>
                  <a:srgbClr val="002060"/>
                </a:solidFill>
              </a:defRPr>
            </a:pPr>
            <a:r>
              <a:rPr lang="en-US" sz="1000">
                <a:solidFill>
                  <a:srgbClr val="002060"/>
                </a:solidFill>
              </a:rPr>
              <a:t>Avg.</a:t>
            </a:r>
            <a:r>
              <a:rPr lang="en-US" sz="1000" baseline="0">
                <a:solidFill>
                  <a:srgbClr val="002060"/>
                </a:solidFill>
              </a:rPr>
              <a:t> salary</a:t>
            </a:r>
            <a:endParaRPr lang="en-US" sz="1000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3565384382451489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226632338463317"/>
          <c:y val="0.12083416834548057"/>
          <c:w val="0.54437153689122197"/>
          <c:h val="0.76637780612618955"/>
        </c:manualLayout>
      </c:layout>
      <c:doughnut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solidFill>
                      <a:schemeClr val="accent5">
                        <a:lumMod val="20000"/>
                        <a:lumOff val="80000"/>
                      </a:schemeClr>
                    </a:solidFill>
                  </a:defRPr>
                </a:pPr>
                <a:endParaRPr lang="en-B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GeneralStatistics!$G$25:$G$30</c:f>
              <c:strCache>
                <c:ptCount val="6"/>
                <c:pt idx="0">
                  <c:v>Administration</c:v>
                </c:pt>
                <c:pt idx="1">
                  <c:v>Accounting</c:v>
                </c:pt>
                <c:pt idx="2">
                  <c:v>IT</c:v>
                </c:pt>
                <c:pt idx="3">
                  <c:v>Legal</c:v>
                </c:pt>
                <c:pt idx="4">
                  <c:v>HR</c:v>
                </c:pt>
                <c:pt idx="5">
                  <c:v>Marketing</c:v>
                </c:pt>
              </c:strCache>
            </c:strRef>
          </c:cat>
          <c:val>
            <c:numRef>
              <c:f>GeneralStatistics!$H$25:$H$30</c:f>
              <c:numCache>
                <c:formatCode>0</c:formatCode>
                <c:ptCount val="6"/>
                <c:pt idx="0">
                  <c:v>2500</c:v>
                </c:pt>
                <c:pt idx="1">
                  <c:v>3625</c:v>
                </c:pt>
                <c:pt idx="2">
                  <c:v>3000</c:v>
                </c:pt>
                <c:pt idx="3">
                  <c:v>4250</c:v>
                </c:pt>
                <c:pt idx="4">
                  <c:v>3250</c:v>
                </c:pt>
                <c:pt idx="5">
                  <c:v>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6-F841-86A2-2BB5405C9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1991305744011691"/>
          <c:y val="0.10811385698263529"/>
          <c:w val="0.27439546692177497"/>
          <c:h val="0.66775892115258628"/>
        </c:manualLayout>
      </c:layout>
      <c:overlay val="0"/>
      <c:txPr>
        <a:bodyPr/>
        <a:lstStyle/>
        <a:p>
          <a:pPr>
            <a:defRPr sz="800"/>
          </a:pPr>
          <a:endParaRPr lang="en-B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9.xml"/><Relationship Id="rId5" Type="http://schemas.openxmlformats.org/officeDocument/2006/relationships/chart" Target="../charts/chart5.xml"/><Relationship Id="rId10" Type="http://schemas.openxmlformats.org/officeDocument/2006/relationships/image" Target="../media/image2.jpeg"/><Relationship Id="rId4" Type="http://schemas.openxmlformats.org/officeDocument/2006/relationships/chart" Target="../charts/chart4.xml"/><Relationship Id="rId9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4</xdr:col>
      <xdr:colOff>254000</xdr:colOff>
      <xdr:row>12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341311</xdr:colOff>
      <xdr:row>3</xdr:row>
      <xdr:rowOff>163512</xdr:rowOff>
    </xdr:from>
    <xdr:to>
      <xdr:col>8</xdr:col>
      <xdr:colOff>0</xdr:colOff>
      <xdr:row>11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38099</xdr:rowOff>
    </xdr:from>
    <xdr:to>
      <xdr:col>4</xdr:col>
      <xdr:colOff>276225</xdr:colOff>
      <xdr:row>33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337283</xdr:colOff>
      <xdr:row>12</xdr:row>
      <xdr:rowOff>9527</xdr:rowOff>
    </xdr:from>
    <xdr:to>
      <xdr:col>8</xdr:col>
      <xdr:colOff>583467</xdr:colOff>
      <xdr:row>22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325240</xdr:colOff>
      <xdr:row>23</xdr:row>
      <xdr:rowOff>38100</xdr:rowOff>
    </xdr:from>
    <xdr:to>
      <xdr:col>8</xdr:col>
      <xdr:colOff>564819</xdr:colOff>
      <xdr:row>33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23</xdr:row>
      <xdr:rowOff>38099</xdr:rowOff>
    </xdr:from>
    <xdr:to>
      <xdr:col>13</xdr:col>
      <xdr:colOff>508952</xdr:colOff>
      <xdr:row>33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22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12</xdr:row>
      <xdr:rowOff>1</xdr:rowOff>
    </xdr:from>
    <xdr:to>
      <xdr:col>14</xdr:col>
      <xdr:colOff>0</xdr:colOff>
      <xdr:row>22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7</xdr:col>
      <xdr:colOff>403490</xdr:colOff>
      <xdr:row>8</xdr:row>
      <xdr:rowOff>171450</xdr:rowOff>
    </xdr:from>
    <xdr:to>
      <xdr:col>8</xdr:col>
      <xdr:colOff>170656</xdr:colOff>
      <xdr:row>10</xdr:row>
      <xdr:rowOff>171450</xdr:rowOff>
    </xdr:to>
    <xdr:pic>
      <xdr:nvPicPr>
        <xdr:cNvPr id="10" name="Picture 9" descr="Untitled design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 flipH="1">
          <a:off x="4681803" y="1600200"/>
          <a:ext cx="378353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170656</xdr:colOff>
      <xdr:row>4</xdr:row>
      <xdr:rowOff>171450</xdr:rowOff>
    </xdr:from>
    <xdr:to>
      <xdr:col>5</xdr:col>
      <xdr:colOff>549010</xdr:colOff>
      <xdr:row>6</xdr:row>
      <xdr:rowOff>171450</xdr:rowOff>
    </xdr:to>
    <xdr:pic>
      <xdr:nvPicPr>
        <xdr:cNvPr id="12" name="Picture 11" descr="Untitled design(1)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226594" y="838200"/>
          <a:ext cx="378354" cy="381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13</xdr:col>
      <xdr:colOff>609599</xdr:colOff>
      <xdr:row>12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10</xdr:col>
      <xdr:colOff>0</xdr:colOff>
      <xdr:row>13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85</xdr:row>
      <xdr:rowOff>0</xdr:rowOff>
    </xdr:from>
    <xdr:to>
      <xdr:col>8</xdr:col>
      <xdr:colOff>19050</xdr:colOff>
      <xdr:row>96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</xdr:row>
      <xdr:rowOff>0</xdr:rowOff>
    </xdr:from>
    <xdr:to>
      <xdr:col>9</xdr:col>
      <xdr:colOff>0</xdr:colOff>
      <xdr:row>21</xdr:row>
      <xdr:rowOff>133349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</xdr:row>
      <xdr:rowOff>95250</xdr:rowOff>
    </xdr:from>
    <xdr:to>
      <xdr:col>9</xdr:col>
      <xdr:colOff>0</xdr:colOff>
      <xdr:row>12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M11" headerRowCount="0" totalsRowShown="0" headerRowDxfId="56" dataDxfId="55">
  <tableColumns count="13">
    <tableColumn id="1" xr3:uid="{00000000-0010-0000-0000-000001000000}" name="KPI" headerRowDxfId="54" dataDxfId="53"/>
    <tableColumn id="2" xr3:uid="{00000000-0010-0000-0000-000002000000}" name="Jan" headerRowDxfId="52" dataDxfId="51">
      <calculatedColumnFormula>DataForKPI!B$3/NETWORKDAYS(DATE(2021, 1, 1), DATE(2021,1,31))</calculatedColumnFormula>
    </tableColumn>
    <tableColumn id="3" xr3:uid="{00000000-0010-0000-0000-000003000000}" name="Feb" headerRowDxfId="50" dataDxfId="49">
      <calculatedColumnFormula>DataForKPI!C$3/NETWORKDAYS(DATE(2021, 2, 1), DATE(2021,2,28))</calculatedColumnFormula>
    </tableColumn>
    <tableColumn id="4" xr3:uid="{00000000-0010-0000-0000-000004000000}" name="Mar" headerRowDxfId="48" dataDxfId="47">
      <calculatedColumnFormula>DataForKPI!D$3/NETWORKDAYS(DATE(2021, 3, 1), DATE(2021,3,31))</calculatedColumnFormula>
    </tableColumn>
    <tableColumn id="5" xr3:uid="{00000000-0010-0000-0000-000005000000}" name="Apr" headerRowDxfId="46" dataDxfId="45">
      <calculatedColumnFormula>DataForKPI!E$3/NETWORKDAYS(DATE(2021, 4, 1), DATE(2021,4,30))</calculatedColumnFormula>
    </tableColumn>
    <tableColumn id="6" xr3:uid="{00000000-0010-0000-0000-000006000000}" name="May" headerRowDxfId="44" dataDxfId="43">
      <calculatedColumnFormula>DataForKPI!F$3/NETWORKDAYS(DATE(2021, 5, 1), DATE(2021,5,31))</calculatedColumnFormula>
    </tableColumn>
    <tableColumn id="7" xr3:uid="{00000000-0010-0000-0000-000007000000}" name="Jun" headerRowDxfId="42" dataDxfId="41">
      <calculatedColumnFormula>DataForKPI!G$3/NETWORKDAYS(DATE(2021, 6, 1), DATE(2021,6,30))</calculatedColumnFormula>
    </tableColumn>
    <tableColumn id="8" xr3:uid="{00000000-0010-0000-0000-000008000000}" name="Jul" headerRowDxfId="40" dataDxfId="39">
      <calculatedColumnFormula>DataForKPI!H$3/NETWORKDAYS(DATE(2021, 7, 1), DATE(2021,7,31))</calculatedColumnFormula>
    </tableColumn>
    <tableColumn id="9" xr3:uid="{00000000-0010-0000-0000-000009000000}" name="Aug" headerRowDxfId="38" dataDxfId="37">
      <calculatedColumnFormula>DataForKPI!I$3/NETWORKDAYS(DATE(2021, 8, 1), DATE(2021,8,31))</calculatedColumnFormula>
    </tableColumn>
    <tableColumn id="10" xr3:uid="{00000000-0010-0000-0000-00000A000000}" name="Sep" headerRowDxfId="36" dataDxfId="35">
      <calculatedColumnFormula>DataForKPI!J$3/NETWORKDAYS(DATE(2021, 9, 1), DATE(2021,9,30))</calculatedColumnFormula>
    </tableColumn>
    <tableColumn id="11" xr3:uid="{00000000-0010-0000-0000-00000B000000}" name="Oct" headerRowDxfId="34" dataDxfId="33">
      <calculatedColumnFormula>DataForKPI!K$3/NETWORKDAYS(DATE(2021, 10, 1), DATE(2021,10,31))</calculatedColumnFormula>
    </tableColumn>
    <tableColumn id="12" xr3:uid="{00000000-0010-0000-0000-00000C000000}" name="Nov" headerRowDxfId="32" dataDxfId="31">
      <calculatedColumnFormula>DataForKPI!L$3/NETWORKDAYS(DATE(2021, 11, 1), DATE(2021,11,30))</calculatedColumnFormula>
    </tableColumn>
    <tableColumn id="13" xr3:uid="{00000000-0010-0000-0000-00000D000000}" name="Dec" headerRowDxfId="30" dataDxfId="29">
      <calculatedColumnFormula>DataForKPI!M$3/NETWORKDAYS(DATE(2021, 12, 1), DATE(2021,12,31))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4" displayName="Table24" ref="A3:M11" headerRowCount="0" totalsRowShown="0" headerRowDxfId="28">
  <tableColumns count="13">
    <tableColumn id="1" xr3:uid="{00000000-0010-0000-0100-000001000000}" name="KPI" headerRowDxfId="27" dataDxfId="26"/>
    <tableColumn id="2" xr3:uid="{00000000-0010-0000-0100-000002000000}" name="Jan" headerRowDxfId="25"/>
    <tableColumn id="3" xr3:uid="{00000000-0010-0000-0100-000003000000}" name="Feb" headerRowDxfId="24"/>
    <tableColumn id="4" xr3:uid="{00000000-0010-0000-0100-000004000000}" name="Mar" headerRowDxfId="23"/>
    <tableColumn id="5" xr3:uid="{00000000-0010-0000-0100-000005000000}" name="Apr" headerRowDxfId="22"/>
    <tableColumn id="6" xr3:uid="{00000000-0010-0000-0100-000006000000}" name="May" headerRowDxfId="21"/>
    <tableColumn id="7" xr3:uid="{00000000-0010-0000-0100-000007000000}" name="Jun" headerRowDxfId="20"/>
    <tableColumn id="8" xr3:uid="{00000000-0010-0000-0100-000008000000}" name="Jul" headerRowDxfId="19"/>
    <tableColumn id="9" xr3:uid="{00000000-0010-0000-0100-000009000000}" name="Aug" headerRowDxfId="18"/>
    <tableColumn id="10" xr3:uid="{00000000-0010-0000-0100-00000A000000}" name="Sep" headerRowDxfId="17"/>
    <tableColumn id="11" xr3:uid="{00000000-0010-0000-0100-00000B000000}" name="Oct" headerRowDxfId="16"/>
    <tableColumn id="12" xr3:uid="{00000000-0010-0000-0100-00000C000000}" name="Nov" headerRowDxfId="15"/>
    <tableColumn id="13" xr3:uid="{00000000-0010-0000-0100-00000D000000}" name="Dec" headerRowDxfId="14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B5:M21" totalsRowShown="0" headerRowDxfId="13" dataDxfId="12">
  <autoFilter ref="B5:M21" xr:uid="{00000000-0009-0000-0100-000001000000}"/>
  <tableColumns count="12">
    <tableColumn id="1" xr3:uid="{00000000-0010-0000-0200-000001000000}" name="NAME" dataDxfId="11"/>
    <tableColumn id="2" xr3:uid="{00000000-0010-0000-0200-000002000000}" name="DEPARTMENT" dataDxfId="10"/>
    <tableColumn id="3" xr3:uid="{00000000-0010-0000-0200-000003000000}" name="HIRE DATE" dataDxfId="9"/>
    <tableColumn id="4" xr3:uid="{00000000-0010-0000-0200-000004000000}" name="SERVICE LENGTH (months)" dataDxfId="8">
      <calculatedColumnFormula>DATEDIF(D6,TODAY(),"M")</calculatedColumnFormula>
    </tableColumn>
    <tableColumn id="5" xr3:uid="{00000000-0010-0000-0200-000005000000}" name="AVG SALARY ($)" dataDxfId="7"/>
    <tableColumn id="6" xr3:uid="{00000000-0010-0000-0200-000006000000}" name="BIRTH DATE" dataDxfId="6"/>
    <tableColumn id="7" xr3:uid="{00000000-0010-0000-0200-000007000000}" name="AGE" dataDxfId="5">
      <calculatedColumnFormula>DATEDIF(G6,TODAY(),"Y")</calculatedColumnFormula>
    </tableColumn>
    <tableColumn id="8" xr3:uid="{00000000-0010-0000-0200-000008000000}" name="SEX" dataDxfId="4"/>
    <tableColumn id="9" xr3:uid="{00000000-0010-0000-0200-000009000000}" name="OVERTIME (hours)" dataDxfId="3"/>
    <tableColumn id="10" xr3:uid="{00000000-0010-0000-0200-00000A000000}" name="ABSENCE (days)" dataDxfId="2"/>
    <tableColumn id="11" xr3:uid="{00000000-0010-0000-0200-00000B000000}" name="BONUS" dataDxfId="1"/>
    <tableColumn id="12" xr3:uid="{00000000-0010-0000-0200-00000C000000}" name="SCORE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showGridLines="0" tabSelected="1" topLeftCell="A3" zoomScale="130" zoomScaleNormal="130" workbookViewId="0">
      <selection activeCell="J3" sqref="J3:K3"/>
    </sheetView>
  </sheetViews>
  <sheetFormatPr baseColWidth="10" defaultColWidth="8.83203125" defaultRowHeight="15" x14ac:dyDescent="0.2"/>
  <cols>
    <col min="11" max="11" width="6" customWidth="1"/>
    <col min="12" max="12" width="9.1640625" customWidth="1"/>
  </cols>
  <sheetData>
    <row r="1" spans="1:14" ht="15" customHeight="1" x14ac:dyDescent="0.2">
      <c r="A1" s="32" t="s">
        <v>94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1" customFormat="1" ht="9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4.2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33" t="s">
        <v>95</v>
      </c>
      <c r="K3" s="33"/>
      <c r="L3" s="24"/>
    </row>
    <row r="4" spans="1:14" ht="14.2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6"/>
      <c r="K4" s="26"/>
      <c r="L4" s="24"/>
    </row>
    <row r="23" ht="6" customHeight="1" x14ac:dyDescent="0.2"/>
  </sheetData>
  <mergeCells count="2">
    <mergeCell ref="A1:N2"/>
    <mergeCell ref="J3:K3"/>
  </mergeCells>
  <pageMargins left="0.7" right="0.7" top="0.75" bottom="0.75" header="0.3" footer="0.3"/>
  <pageSetup paperSize="9" orientation="landscape" r:id="rId1"/>
  <headerFooter>
    <oddFooter>&amp;CLeaveBoard.com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1"/>
  <sheetViews>
    <sheetView workbookViewId="0">
      <selection activeCell="D12" sqref="D12"/>
    </sheetView>
  </sheetViews>
  <sheetFormatPr baseColWidth="10" defaultColWidth="8.83203125" defaultRowHeight="15" x14ac:dyDescent="0.2"/>
  <cols>
    <col min="1" max="1" width="17.6640625" customWidth="1"/>
    <col min="2" max="13" width="8.1640625" customWidth="1"/>
  </cols>
  <sheetData>
    <row r="2" spans="1:13" ht="30.75" customHeight="1" x14ac:dyDescent="0.2">
      <c r="A2" s="11" t="s">
        <v>52</v>
      </c>
      <c r="B2" s="14" t="s">
        <v>53</v>
      </c>
      <c r="C2" s="14" t="s">
        <v>54</v>
      </c>
      <c r="D2" s="14" t="s">
        <v>55</v>
      </c>
      <c r="E2" s="14" t="s">
        <v>56</v>
      </c>
      <c r="F2" s="14" t="s">
        <v>57</v>
      </c>
      <c r="G2" s="14" t="s">
        <v>58</v>
      </c>
      <c r="H2" s="14" t="s">
        <v>59</v>
      </c>
      <c r="I2" s="14" t="s">
        <v>60</v>
      </c>
      <c r="J2" s="14" t="s">
        <v>61</v>
      </c>
      <c r="K2" s="14" t="s">
        <v>62</v>
      </c>
      <c r="L2" s="14" t="s">
        <v>63</v>
      </c>
      <c r="M2" s="20" t="s">
        <v>64</v>
      </c>
    </row>
    <row r="3" spans="1:13" x14ac:dyDescent="0.2">
      <c r="A3" s="23" t="s">
        <v>65</v>
      </c>
      <c r="B3" s="21">
        <f>DataForKPI!B$3/NETWORKDAYS(DATE(2021, 1, 1), DATE(2021,1,31))</f>
        <v>4.7619047619047616E-2</v>
      </c>
      <c r="C3" s="21">
        <f>DataForKPI!C$3/NETWORKDAYS(DATE(2021, 2, 1), DATE(2021,2,28))</f>
        <v>0.05</v>
      </c>
      <c r="D3" s="21">
        <f>DataForKPI!D$3/NETWORKDAYS(DATE(2021, 3, 1), DATE(2021,3,31))</f>
        <v>0</v>
      </c>
      <c r="E3" s="21">
        <f>DataForKPI!E$3/NETWORKDAYS(DATE(2021, 4, 1), DATE(2021,4,30))</f>
        <v>4.5454545454545456E-2</v>
      </c>
      <c r="F3" s="21">
        <f>DataForKPI!F$3/NETWORKDAYS(DATE(2021, 5, 1), DATE(2021,5,31))</f>
        <v>9.5238095238095233E-2</v>
      </c>
      <c r="G3" s="21">
        <f>DataForKPI!G$3/NETWORKDAYS(DATE(2021, 6, 1), DATE(2021,6,30))</f>
        <v>9.0909090909090912E-2</v>
      </c>
      <c r="H3" s="21">
        <f>DataForKPI!H$3/NETWORKDAYS(DATE(2021, 7, 1), DATE(2021,7,31))</f>
        <v>0</v>
      </c>
      <c r="I3" s="21">
        <f>DataForKPI!I$3/NETWORKDAYS(DATE(2021, 8, 1), DATE(2021,8,31))</f>
        <v>0</v>
      </c>
      <c r="J3" s="21">
        <f>DataForKPI!J$3/NETWORKDAYS(DATE(2021, 9, 1), DATE(2021,9,30))</f>
        <v>4.5454545454545456E-2</v>
      </c>
      <c r="K3" s="21">
        <f>DataForKPI!K$3/NETWORKDAYS(DATE(2021, 10, 1), DATE(2021,10,31))</f>
        <v>0</v>
      </c>
      <c r="L3" s="21">
        <f>DataForKPI!L$3/NETWORKDAYS(DATE(2021, 11, 1), DATE(2021,11,30))</f>
        <v>4.5454545454545456E-2</v>
      </c>
      <c r="M3" s="21">
        <f>DataForKPI!M$3/NETWORKDAYS(DATE(2021, 12, 1), DATE(2021,12,31))</f>
        <v>8.6956521739130432E-2</v>
      </c>
    </row>
    <row r="4" spans="1:13" x14ac:dyDescent="0.2">
      <c r="A4" s="23" t="s">
        <v>80</v>
      </c>
      <c r="B4" s="17">
        <f>DataForKPI!B$3*(SUM(GeneralStatistics!$E$6:$E$11)/(12*EmployeeSituations!$A$21))/NETWORKDAYS(DATE(2021, 1, 1), DATE(2021,1,31))</f>
        <v>152.08333333333334</v>
      </c>
      <c r="C4" s="17">
        <f>DataForKPI!C$3*(SUM(GeneralStatistics!$E$6:$E$11)/(12*EmployeeSituations!$A$21))/NETWORKDAYS(DATE(2021,2, 1), DATE(2021,2,28))</f>
        <v>159.6875</v>
      </c>
      <c r="D4" s="17">
        <f>DataForKPI!D$3*(SUM(GeneralStatistics!$E$6:$E$11)/(12*EmployeeSituations!$A$21))/NETWORKDAYS(DATE(2021, 3, 1), DATE(2021,3,31))</f>
        <v>0</v>
      </c>
      <c r="E4" s="17">
        <f>DataForKPI!E$3*(SUM(GeneralStatistics!$E$6:$E$11)/(12*EmployeeSituations!$A$21))/NETWORKDAYS(DATE(2021, 4, 1), DATE(2021,4,30))</f>
        <v>145.17045454545453</v>
      </c>
      <c r="F4" s="17">
        <f>DataForKPI!F$3*(SUM(GeneralStatistics!$E$6:$E$11)/(12*EmployeeSituations!$A$21))/NETWORKDAYS(DATE(2021, 5, 1), DATE(2021,5,31))</f>
        <v>304.16666666666669</v>
      </c>
      <c r="G4" s="17">
        <f>DataForKPI!G$3*(SUM(GeneralStatistics!$E$6:$E$11)/(12*EmployeeSituations!$A$21))/NETWORKDAYS(DATE(2021, 6, 1), DATE(2021,6,30))</f>
        <v>290.34090909090907</v>
      </c>
      <c r="H4" s="17">
        <f>DataForKPI!H$3*(SUM(GeneralStatistics!$E$6:$E$11)/(12*EmployeeSituations!$A$21))/NETWORKDAYS(DATE(2021, 7, 1), DATE(2021,7,31))</f>
        <v>0</v>
      </c>
      <c r="I4" s="17">
        <f>DataForKPI!I$3*(SUM(GeneralStatistics!$E$6:$E$11)/(12*EmployeeSituations!$A$21))/NETWORKDAYS(DATE(2021, 8, 1), DATE(2021,8,31))</f>
        <v>0</v>
      </c>
      <c r="J4" s="17">
        <f>DataForKPI!J$3*(SUM(GeneralStatistics!$E$6:$E$11)/(12*EmployeeSituations!$A$21))/NETWORKDAYS(DATE(2021, 9, 1), DATE(2021,9,30))</f>
        <v>145.17045454545453</v>
      </c>
      <c r="K4" s="17">
        <f>DataForKPI!K$3*(SUM(GeneralStatistics!$E$6:$E$11)/(12*EmployeeSituations!$A$21))/NETWORKDAYS(DATE(2021, 10, 1), DATE(2021,10,31))</f>
        <v>0</v>
      </c>
      <c r="L4" s="17">
        <f>DataForKPI!L$3*(SUM(GeneralStatistics!$E$6:$E$11)/(12*EmployeeSituations!$A$21))/NETWORKDAYS(DATE(2021, 11, 1), DATE(2021,11,30))</f>
        <v>145.17045454545453</v>
      </c>
      <c r="M4" s="17">
        <f>DataForKPI!M$3*(SUM(GeneralStatistics!$E$6:$E$11)/(12*EmployeeSituations!$A$21))/NETWORKDAYS(DATE(2021, 12, 1), DATE(2021,12,31))</f>
        <v>277.71739130434781</v>
      </c>
    </row>
    <row r="5" spans="1:13" x14ac:dyDescent="0.2">
      <c r="A5" s="23" t="s">
        <v>83</v>
      </c>
      <c r="B5" s="21">
        <f>DataForKPI!B4/5</f>
        <v>1</v>
      </c>
      <c r="C5" s="21">
        <f>DataForKPI!C4/5</f>
        <v>0.9</v>
      </c>
      <c r="D5" s="21">
        <f>DataForKPI!D4/5</f>
        <v>1</v>
      </c>
      <c r="E5" s="21">
        <f>DataForKPI!E4/5</f>
        <v>0.8</v>
      </c>
      <c r="F5" s="21">
        <f>DataForKPI!F4/5</f>
        <v>0.8</v>
      </c>
      <c r="G5" s="21">
        <f>DataForKPI!G4/5</f>
        <v>0.6</v>
      </c>
      <c r="H5" s="21">
        <f>DataForKPI!H4/5</f>
        <v>1</v>
      </c>
      <c r="I5" s="21">
        <f>DataForKPI!I4/5</f>
        <v>1</v>
      </c>
      <c r="J5" s="21">
        <f>DataForKPI!J4/5</f>
        <v>0.9</v>
      </c>
      <c r="K5" s="21">
        <f>DataForKPI!K4/5</f>
        <v>1</v>
      </c>
      <c r="L5" s="21">
        <f>DataForKPI!L4/5</f>
        <v>1</v>
      </c>
      <c r="M5" s="21">
        <f>DataForKPI!M4/5</f>
        <v>0.8</v>
      </c>
    </row>
    <row r="6" spans="1:13" x14ac:dyDescent="0.2">
      <c r="A6" s="23" t="s">
        <v>84</v>
      </c>
      <c r="B6" s="21">
        <f>DataForKPI!B5/5</f>
        <v>0.8</v>
      </c>
      <c r="C6" s="21">
        <f>DataForKPI!C5/5</f>
        <v>0.9</v>
      </c>
      <c r="D6" s="21">
        <f>DataForKPI!D5/5</f>
        <v>1</v>
      </c>
      <c r="E6" s="21">
        <f>DataForKPI!E5/5</f>
        <v>0.8</v>
      </c>
      <c r="F6" s="21">
        <f>DataForKPI!F5/5</f>
        <v>0.6</v>
      </c>
      <c r="G6" s="21">
        <f>DataForKPI!G5/5</f>
        <v>0.6</v>
      </c>
      <c r="H6" s="21">
        <f>DataForKPI!H5/5</f>
        <v>1</v>
      </c>
      <c r="I6" s="21">
        <f>DataForKPI!I5/5</f>
        <v>1</v>
      </c>
      <c r="J6" s="21">
        <f>DataForKPI!J5/5</f>
        <v>1</v>
      </c>
      <c r="K6" s="21">
        <f>DataForKPI!K5/5</f>
        <v>1</v>
      </c>
      <c r="L6" s="21">
        <f>DataForKPI!L5/5</f>
        <v>1</v>
      </c>
      <c r="M6" s="21">
        <f>DataForKPI!M5/5</f>
        <v>1</v>
      </c>
    </row>
    <row r="7" spans="1:13" x14ac:dyDescent="0.2">
      <c r="A7" s="23" t="s">
        <v>85</v>
      </c>
      <c r="B7" s="21">
        <f>DataForKPI!B6/5</f>
        <v>0.7</v>
      </c>
      <c r="C7" s="21">
        <f>DataForKPI!C6/5</f>
        <v>0.8</v>
      </c>
      <c r="D7" s="21">
        <f>DataForKPI!D6/5</f>
        <v>1</v>
      </c>
      <c r="E7" s="21">
        <f>DataForKPI!E6/5</f>
        <v>1</v>
      </c>
      <c r="F7" s="21">
        <f>DataForKPI!F6/5</f>
        <v>0.8</v>
      </c>
      <c r="G7" s="21">
        <f>DataForKPI!G6/5</f>
        <v>0.8</v>
      </c>
      <c r="H7" s="21">
        <f>DataForKPI!H6/5</f>
        <v>1</v>
      </c>
      <c r="I7" s="21">
        <f>DataForKPI!I6/5</f>
        <v>1</v>
      </c>
      <c r="J7" s="21">
        <f>DataForKPI!J6/5</f>
        <v>1</v>
      </c>
      <c r="K7" s="21">
        <f>DataForKPI!K6/5</f>
        <v>1</v>
      </c>
      <c r="L7" s="21">
        <f>DataForKPI!L6/5</f>
        <v>1</v>
      </c>
      <c r="M7" s="21">
        <f>DataForKPI!M6/5</f>
        <v>1</v>
      </c>
    </row>
    <row r="8" spans="1:13" x14ac:dyDescent="0.2">
      <c r="A8" s="23" t="s">
        <v>66</v>
      </c>
      <c r="B8" s="21">
        <f>DataForKPI!B$7/EmployeeSituations!$A$21</f>
        <v>0.1875</v>
      </c>
      <c r="C8" s="21">
        <f>DataForKPI!C$7/EmployeeSituations!$A$21</f>
        <v>6.25E-2</v>
      </c>
      <c r="D8" s="21">
        <f>DataForKPI!D$7/EmployeeSituations!$A$21</f>
        <v>0</v>
      </c>
      <c r="E8" s="21">
        <f>DataForKPI!E$7/EmployeeSituations!$A$21</f>
        <v>0</v>
      </c>
      <c r="F8" s="21">
        <f>DataForKPI!F$7/EmployeeSituations!$A$21</f>
        <v>0</v>
      </c>
      <c r="G8" s="21">
        <f>DataForKPI!G$7/EmployeeSituations!$A$21</f>
        <v>0</v>
      </c>
      <c r="H8" s="21">
        <f>DataForKPI!H$7/EmployeeSituations!$A$21</f>
        <v>0</v>
      </c>
      <c r="I8" s="21">
        <f>DataForKPI!I$7/EmployeeSituations!$A$21</f>
        <v>0</v>
      </c>
      <c r="J8" s="21">
        <f>DataForKPI!J$7/EmployeeSituations!$A$21</f>
        <v>6.25E-2</v>
      </c>
      <c r="K8" s="21">
        <f>DataForKPI!K$7/EmployeeSituations!$A$21</f>
        <v>6.25E-2</v>
      </c>
      <c r="L8" s="21">
        <f>DataForKPI!L$7/EmployeeSituations!$A$21</f>
        <v>0</v>
      </c>
      <c r="M8" s="21">
        <f>DataForKPI!M$7/EmployeeSituations!$A$21</f>
        <v>0</v>
      </c>
    </row>
    <row r="9" spans="1:13" x14ac:dyDescent="0.2">
      <c r="A9" s="23" t="s">
        <v>67</v>
      </c>
      <c r="B9" s="21">
        <f>DataForKPI!B$8/EmployeeSituations!$A$21</f>
        <v>6.25E-2</v>
      </c>
      <c r="C9" s="21">
        <f>DataForKPI!C$8/EmployeeSituations!$A$21</f>
        <v>0</v>
      </c>
      <c r="D9" s="21">
        <f>DataForKPI!D$8/EmployeeSituations!$A$21</f>
        <v>0</v>
      </c>
      <c r="E9" s="21">
        <f>DataForKPI!E$8/EmployeeSituations!$A$21</f>
        <v>0</v>
      </c>
      <c r="F9" s="21">
        <f>DataForKPI!F$8/EmployeeSituations!$A$21</f>
        <v>0</v>
      </c>
      <c r="G9" s="21">
        <f>DataForKPI!G$8/EmployeeSituations!$A$21</f>
        <v>0</v>
      </c>
      <c r="H9" s="21">
        <f>DataForKPI!H$8/EmployeeSituations!$A$21</f>
        <v>0</v>
      </c>
      <c r="I9" s="21">
        <f>DataForKPI!I$8/EmployeeSituations!$A$21</f>
        <v>0</v>
      </c>
      <c r="J9" s="21">
        <f>DataForKPI!J$8/EmployeeSituations!$A$21</f>
        <v>6.25E-2</v>
      </c>
      <c r="K9" s="21">
        <f>DataForKPI!K$8/EmployeeSituations!$A$21</f>
        <v>6.25E-2</v>
      </c>
      <c r="L9" s="21">
        <f>DataForKPI!L$8/EmployeeSituations!$A$21</f>
        <v>0</v>
      </c>
      <c r="M9" s="21">
        <f>DataForKPI!M$8/EmployeeSituations!$A$21</f>
        <v>0</v>
      </c>
    </row>
    <row r="10" spans="1:13" x14ac:dyDescent="0.2">
      <c r="A10" s="23" t="s">
        <v>68</v>
      </c>
      <c r="B10" s="21">
        <f>IF(DataForKPI!B$9 = 0, 0, DataForKPI!B$10/DataForKPI!B$9)</f>
        <v>0</v>
      </c>
      <c r="C10" s="21">
        <f>IF(DataForKPI!C$9 = 0, 0, DataForKPI!C$10/DataForKPI!C$9)</f>
        <v>0.5</v>
      </c>
      <c r="D10" s="21">
        <f>IF(DataForKPI!D$9 = 0, 0, DataForKPI!D$10/DataForKPI!D$9)</f>
        <v>1</v>
      </c>
      <c r="E10" s="21">
        <f>IF(DataForKPI!E$9 = 0, 0, DataForKPI!E$10/DataForKPI!E$9)</f>
        <v>0</v>
      </c>
      <c r="F10" s="21">
        <f>IF(DataForKPI!F$9 = 0, 0, DataForKPI!F$10/DataForKPI!F$9)</f>
        <v>0</v>
      </c>
      <c r="G10" s="21">
        <f>IF(DataForKPI!G$9 = 0, 0, DataForKPI!G$10/DataForKPI!G$9)</f>
        <v>0</v>
      </c>
      <c r="H10" s="21">
        <f>IF(DataForKPI!H$9 = 0, 0, DataForKPI!H$10/DataForKPI!H$9)</f>
        <v>0</v>
      </c>
      <c r="I10" s="21">
        <f>IF(DataForKPI!I$9 = 0, 0, DataForKPI!I$10/DataForKPI!I$9)</f>
        <v>0</v>
      </c>
      <c r="J10" s="21">
        <f>IF(DataForKPI!J$9 = 0, 0, DataForKPI!J$10/DataForKPI!J$9)</f>
        <v>0</v>
      </c>
      <c r="K10" s="21">
        <f>IF(DataForKPI!K$9 = 0, 0, DataForKPI!K$10/DataForKPI!K$9)</f>
        <v>0</v>
      </c>
      <c r="L10" s="21">
        <f>IF(DataForKPI!L$9 = 0, 0, DataForKPI!L$10/DataForKPI!L$9)</f>
        <v>0</v>
      </c>
      <c r="M10" s="21">
        <f>IF(DataForKPI!M$9 = 0, 0, DataForKPI!M$10/DataForKPI!M$9)</f>
        <v>0</v>
      </c>
    </row>
    <row r="11" spans="1:13" x14ac:dyDescent="0.2">
      <c r="A11" s="23" t="s">
        <v>69</v>
      </c>
      <c r="B11" s="21">
        <f>IF(DataForKPI!B$11 = 0, 0, DataForKPI!B$9/DataForKPI!B$11)</f>
        <v>0.4</v>
      </c>
      <c r="C11" s="21">
        <f>IF(DataForKPI!C$11 = 0, 0, DataForKPI!C$9/DataForKPI!C$11)</f>
        <v>0.5</v>
      </c>
      <c r="D11" s="21">
        <f>IF(DataForKPI!D$11 = 0, 0, DataForKPI!D$9/DataForKPI!D$11)</f>
        <v>0.5</v>
      </c>
      <c r="E11" s="21">
        <f>IF(DataForKPI!E$11 = 0, 0, DataForKPI!E$9/DataForKPI!E$11)</f>
        <v>0</v>
      </c>
      <c r="F11" s="21">
        <f>IF(DataForKPI!F$11 = 0, 0, DataForKPI!F$9/DataForKPI!F$11)</f>
        <v>0.5</v>
      </c>
      <c r="G11" s="21">
        <f>IF(DataForKPI!G$11 = 0, 0, DataForKPI!G$9/DataForKPI!G$11)</f>
        <v>0</v>
      </c>
      <c r="H11" s="21">
        <f>IF(DataForKPI!H$11 = 0, 0, DataForKPI!H$9/DataForKPI!H$11)</f>
        <v>0</v>
      </c>
      <c r="I11" s="21">
        <f>IF(DataForKPI!I$11 = 0, 0, DataForKPI!I$9/DataForKPI!I$11)</f>
        <v>0</v>
      </c>
      <c r="J11" s="21">
        <f>IF(DataForKPI!J$11 = 0, 0, DataForKPI!J$9/DataForKPI!J$11)</f>
        <v>0</v>
      </c>
      <c r="K11" s="21">
        <f>IF(DataForKPI!K$11 = 0, 0, DataForKPI!K$9/DataForKPI!K$11)</f>
        <v>0</v>
      </c>
      <c r="L11" s="21">
        <f>IF(DataForKPI!L$11 = 0, 0, DataForKPI!L$9/DataForKPI!L$11)</f>
        <v>0.5</v>
      </c>
      <c r="M11" s="21">
        <f>IF(DataForKPI!M$11 = 0, 0, DataForKPI!M$9/DataForKPI!M$11)</f>
        <v>0</v>
      </c>
    </row>
  </sheetData>
  <pageMargins left="0.7" right="0.7" top="0.75" bottom="0.75" header="0.3" footer="0.3"/>
  <pageSetup orientation="landscape" r:id="rId1"/>
  <ignoredErrors>
    <ignoredError sqref="B9:C9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1"/>
  <sheetViews>
    <sheetView workbookViewId="0">
      <selection activeCell="C12" sqref="C12"/>
    </sheetView>
  </sheetViews>
  <sheetFormatPr baseColWidth="10" defaultColWidth="8.83203125" defaultRowHeight="15" x14ac:dyDescent="0.2"/>
  <cols>
    <col min="1" max="1" width="21.1640625" customWidth="1"/>
    <col min="2" max="13" width="7.6640625" customWidth="1"/>
  </cols>
  <sheetData>
    <row r="2" spans="1:13" ht="16" x14ac:dyDescent="0.2">
      <c r="A2" s="18" t="s">
        <v>52</v>
      </c>
      <c r="B2" s="2" t="s">
        <v>53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60</v>
      </c>
      <c r="J2" s="2" t="s">
        <v>61</v>
      </c>
      <c r="K2" s="2" t="s">
        <v>62</v>
      </c>
      <c r="L2" s="2" t="s">
        <v>63</v>
      </c>
      <c r="M2" s="19" t="s">
        <v>64</v>
      </c>
    </row>
    <row r="3" spans="1:13" ht="16" x14ac:dyDescent="0.2">
      <c r="A3" s="7" t="s">
        <v>75</v>
      </c>
      <c r="B3">
        <v>1</v>
      </c>
      <c r="C3">
        <v>1</v>
      </c>
      <c r="D3">
        <v>0</v>
      </c>
      <c r="E3">
        <v>1</v>
      </c>
      <c r="F3">
        <v>2</v>
      </c>
      <c r="G3">
        <v>2</v>
      </c>
      <c r="H3">
        <v>0</v>
      </c>
      <c r="I3">
        <v>0</v>
      </c>
      <c r="J3">
        <v>1</v>
      </c>
      <c r="K3">
        <v>0</v>
      </c>
      <c r="L3">
        <v>1</v>
      </c>
      <c r="M3">
        <v>2</v>
      </c>
    </row>
    <row r="4" spans="1:13" ht="32" x14ac:dyDescent="0.2">
      <c r="A4" s="7" t="s">
        <v>88</v>
      </c>
      <c r="B4">
        <v>5</v>
      </c>
      <c r="C4">
        <v>4.5</v>
      </c>
      <c r="D4">
        <v>5</v>
      </c>
      <c r="E4">
        <v>4</v>
      </c>
      <c r="F4">
        <v>4</v>
      </c>
      <c r="G4">
        <v>3</v>
      </c>
      <c r="H4">
        <v>5</v>
      </c>
      <c r="I4">
        <v>5</v>
      </c>
      <c r="J4">
        <v>4.5</v>
      </c>
      <c r="K4">
        <v>5</v>
      </c>
      <c r="L4">
        <v>5</v>
      </c>
      <c r="M4">
        <v>4</v>
      </c>
    </row>
    <row r="5" spans="1:13" ht="16" x14ac:dyDescent="0.2">
      <c r="A5" s="7" t="s">
        <v>82</v>
      </c>
      <c r="B5">
        <v>4</v>
      </c>
      <c r="C5">
        <v>4.5</v>
      </c>
      <c r="D5">
        <v>5</v>
      </c>
      <c r="E5">
        <v>4</v>
      </c>
      <c r="F5">
        <v>3</v>
      </c>
      <c r="G5">
        <v>3</v>
      </c>
      <c r="H5">
        <v>5</v>
      </c>
      <c r="I5">
        <v>5</v>
      </c>
      <c r="J5">
        <v>5</v>
      </c>
      <c r="K5">
        <v>5</v>
      </c>
      <c r="L5">
        <v>5</v>
      </c>
      <c r="M5">
        <v>5</v>
      </c>
    </row>
    <row r="6" spans="1:13" ht="32" x14ac:dyDescent="0.2">
      <c r="A6" s="7" t="s">
        <v>81</v>
      </c>
      <c r="B6">
        <v>3.5</v>
      </c>
      <c r="C6">
        <v>4</v>
      </c>
      <c r="D6">
        <v>5</v>
      </c>
      <c r="E6">
        <v>5</v>
      </c>
      <c r="F6">
        <v>4</v>
      </c>
      <c r="G6">
        <v>4</v>
      </c>
      <c r="H6">
        <v>5</v>
      </c>
      <c r="I6">
        <v>5</v>
      </c>
      <c r="J6">
        <v>5</v>
      </c>
      <c r="K6">
        <v>5</v>
      </c>
      <c r="L6">
        <v>5</v>
      </c>
      <c r="M6">
        <v>5</v>
      </c>
    </row>
    <row r="7" spans="1:13" ht="16" x14ac:dyDescent="0.2">
      <c r="A7" s="7" t="s">
        <v>79</v>
      </c>
      <c r="B7">
        <v>3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1</v>
      </c>
      <c r="L7">
        <v>0</v>
      </c>
      <c r="M7">
        <v>0</v>
      </c>
    </row>
    <row r="8" spans="1:13" ht="32" x14ac:dyDescent="0.2">
      <c r="A8" s="7" t="s">
        <v>76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1</v>
      </c>
      <c r="L8">
        <v>0</v>
      </c>
      <c r="M8">
        <v>0</v>
      </c>
    </row>
    <row r="9" spans="1:13" ht="16" x14ac:dyDescent="0.2">
      <c r="A9" s="7" t="s">
        <v>77</v>
      </c>
      <c r="B9">
        <v>2</v>
      </c>
      <c r="C9">
        <v>2</v>
      </c>
      <c r="D9">
        <v>1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2</v>
      </c>
      <c r="M9">
        <v>0</v>
      </c>
    </row>
    <row r="10" spans="1:13" ht="48" x14ac:dyDescent="0.2">
      <c r="A10" s="7" t="s">
        <v>78</v>
      </c>
      <c r="B10">
        <v>0</v>
      </c>
      <c r="C10">
        <v>1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ht="16" x14ac:dyDescent="0.2">
      <c r="A11" s="7" t="s">
        <v>86</v>
      </c>
      <c r="B11">
        <v>5</v>
      </c>
      <c r="C11">
        <v>4</v>
      </c>
      <c r="D11">
        <v>2</v>
      </c>
      <c r="E11">
        <v>0</v>
      </c>
      <c r="F11">
        <v>2</v>
      </c>
      <c r="G11">
        <v>0</v>
      </c>
      <c r="H11">
        <v>0</v>
      </c>
      <c r="I11">
        <v>0</v>
      </c>
      <c r="J11">
        <v>2</v>
      </c>
      <c r="K11">
        <v>0</v>
      </c>
      <c r="L11">
        <v>4</v>
      </c>
      <c r="M11">
        <v>0</v>
      </c>
    </row>
  </sheetData>
  <pageMargins left="0.7" right="0.7" top="0.75" bottom="0.75" header="0.3" footer="0.3"/>
  <pageSetup orientation="landscape" horizontalDpi="30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showGridLines="0" workbookViewId="0">
      <selection activeCell="B2" sqref="B2"/>
    </sheetView>
  </sheetViews>
  <sheetFormatPr baseColWidth="10" defaultColWidth="8.83203125" defaultRowHeight="15" x14ac:dyDescent="0.2"/>
  <cols>
    <col min="1" max="1" width="24.83203125" customWidth="1"/>
    <col min="2" max="2" width="11.6640625" customWidth="1"/>
    <col min="3" max="3" width="3.6640625" customWidth="1"/>
  </cols>
  <sheetData>
    <row r="1" spans="1:3" ht="16" thickBot="1" x14ac:dyDescent="0.25">
      <c r="A1" s="11">
        <v>2021</v>
      </c>
    </row>
    <row r="2" spans="1:3" ht="16" thickBot="1" x14ac:dyDescent="0.25">
      <c r="A2" s="11" t="s">
        <v>87</v>
      </c>
      <c r="B2" s="22" t="s">
        <v>61</v>
      </c>
    </row>
    <row r="3" spans="1:3" ht="9" customHeight="1" x14ac:dyDescent="0.2"/>
    <row r="4" spans="1:3" ht="25" customHeight="1" x14ac:dyDescent="0.2">
      <c r="A4" s="28" t="s">
        <v>65</v>
      </c>
      <c r="B4" s="29">
        <f>INDEX(KPI!$A$2:$M$11, 2,MATCH($B$2,KPI!$A$2:$M$2,0))</f>
        <v>4.5454545454545456E-2</v>
      </c>
      <c r="C4" s="27">
        <f>1-B4</f>
        <v>0.95454545454545459</v>
      </c>
    </row>
    <row r="5" spans="1:3" ht="25" customHeight="1" x14ac:dyDescent="0.2">
      <c r="A5" s="28" t="s">
        <v>83</v>
      </c>
      <c r="B5" s="29">
        <f>INDEX(KPI!$A$2:$M$11,4,MATCH($B$2,KPI!$A$2:$M$2,0))</f>
        <v>0.9</v>
      </c>
      <c r="C5" s="27"/>
    </row>
    <row r="6" spans="1:3" ht="25" customHeight="1" x14ac:dyDescent="0.2">
      <c r="A6" s="28" t="s">
        <v>84</v>
      </c>
      <c r="B6" s="29">
        <f>INDEX(KPI!$A$2:$M$11, 5,MATCH($B$2,KPI!$A$2:$M$2,0))</f>
        <v>1</v>
      </c>
      <c r="C6" s="27">
        <f t="shared" ref="C6:C12" si="0">1-B5</f>
        <v>9.9999999999999978E-2</v>
      </c>
    </row>
    <row r="7" spans="1:3" ht="25" customHeight="1" x14ac:dyDescent="0.2">
      <c r="A7" s="28" t="s">
        <v>85</v>
      </c>
      <c r="B7" s="29">
        <f>INDEX(KPI!$A$2:$M$11, 6,MATCH($B$2,KPI!$A$2:$M$2,0))</f>
        <v>1</v>
      </c>
      <c r="C7" s="27">
        <f t="shared" si="0"/>
        <v>0</v>
      </c>
    </row>
    <row r="8" spans="1:3" ht="25" customHeight="1" x14ac:dyDescent="0.2">
      <c r="A8" s="28" t="s">
        <v>66</v>
      </c>
      <c r="B8" s="29">
        <f>INDEX(KPI!$A$2:$M$11, 7,MATCH($B$2,KPI!$A$2:$M$2,0))</f>
        <v>6.25E-2</v>
      </c>
      <c r="C8" s="27">
        <f t="shared" si="0"/>
        <v>0</v>
      </c>
    </row>
    <row r="9" spans="1:3" ht="25" customHeight="1" x14ac:dyDescent="0.2">
      <c r="A9" s="28" t="s">
        <v>67</v>
      </c>
      <c r="B9" s="29">
        <f>INDEX(KPI!$A$2:$M$11, 8,MATCH($B$2,KPI!$A$2:$M$2,0))</f>
        <v>6.25E-2</v>
      </c>
      <c r="C9" s="27">
        <f t="shared" si="0"/>
        <v>0.9375</v>
      </c>
    </row>
    <row r="10" spans="1:3" ht="25" customHeight="1" x14ac:dyDescent="0.2">
      <c r="A10" s="28" t="s">
        <v>68</v>
      </c>
      <c r="B10" s="29">
        <f>INDEX(KPI!$A$2:$M$11, 9,MATCH($B$2,KPI!$A$2:$M$2,0))</f>
        <v>0</v>
      </c>
      <c r="C10" s="27">
        <f t="shared" si="0"/>
        <v>0.9375</v>
      </c>
    </row>
    <row r="11" spans="1:3" ht="25" customHeight="1" x14ac:dyDescent="0.2">
      <c r="A11" s="30" t="s">
        <v>69</v>
      </c>
      <c r="B11" s="29">
        <f>INDEX(KPI!$A$2:$M$11,10,MATCH($B$2,KPI!$A$2:$M$2,0))</f>
        <v>0</v>
      </c>
      <c r="C11" s="27">
        <f t="shared" si="0"/>
        <v>1</v>
      </c>
    </row>
    <row r="12" spans="1:3" ht="25" customHeight="1" x14ac:dyDescent="0.2">
      <c r="A12" s="28" t="s">
        <v>80</v>
      </c>
      <c r="B12" s="31">
        <f>INDEX(KPI!$A$2:$M$11, 3,MATCH($B$2,KPI!$A$2:$M$2,0))</f>
        <v>145.17045454545453</v>
      </c>
      <c r="C12" s="27">
        <f t="shared" si="0"/>
        <v>1</v>
      </c>
    </row>
  </sheetData>
  <dataValidations count="1">
    <dataValidation type="list" allowBlank="1" showInputMessage="1" showErrorMessage="1" sqref="B2" xr:uid="{00000000-0002-0000-0300-000000000000}">
      <formula1>month</formula1>
    </dataValidation>
  </dataValidations>
  <pageMargins left="0.7" right="0.7" top="0.75" bottom="0.75" header="0.3" footer="0.3"/>
  <pageSetup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"/>
  <sheetViews>
    <sheetView workbookViewId="0">
      <selection activeCell="Q6" sqref="Q6"/>
    </sheetView>
  </sheetViews>
  <sheetFormatPr baseColWidth="10" defaultColWidth="8.83203125" defaultRowHeight="15" x14ac:dyDescent="0.2"/>
  <cols>
    <col min="1" max="1" width="5" customWidth="1"/>
    <col min="2" max="2" width="12.6640625" bestFit="1" customWidth="1"/>
    <col min="3" max="3" width="14.33203125" customWidth="1"/>
    <col min="4" max="4" width="11.83203125" customWidth="1"/>
    <col min="5" max="5" width="16.5" customWidth="1"/>
    <col min="6" max="6" width="11" customWidth="1"/>
    <col min="7" max="7" width="12.1640625" customWidth="1"/>
    <col min="8" max="8" width="6.83203125" customWidth="1"/>
    <col min="9" max="9" width="6.1640625" customWidth="1"/>
    <col min="10" max="11" width="9.83203125" customWidth="1"/>
    <col min="12" max="12" width="7.1640625" customWidth="1"/>
    <col min="13" max="13" width="7.6640625" customWidth="1"/>
  </cols>
  <sheetData>
    <row r="1" spans="1:13" ht="20.25" customHeight="1" x14ac:dyDescent="0.2">
      <c r="A1" s="34" t="s">
        <v>73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5" spans="1:13" s="1" customFormat="1" ht="30.75" customHeight="1" x14ac:dyDescent="0.2">
      <c r="A5" s="11" t="s">
        <v>71</v>
      </c>
      <c r="B5" s="8" t="s">
        <v>0</v>
      </c>
      <c r="C5" s="8" t="s">
        <v>1</v>
      </c>
      <c r="D5" s="8" t="s">
        <v>2</v>
      </c>
      <c r="E5" s="8" t="s">
        <v>35</v>
      </c>
      <c r="F5" s="8" t="s">
        <v>33</v>
      </c>
      <c r="G5" s="8" t="s">
        <v>5</v>
      </c>
      <c r="H5" s="8" t="s">
        <v>3</v>
      </c>
      <c r="I5" s="8" t="s">
        <v>4</v>
      </c>
      <c r="J5" s="8" t="s">
        <v>31</v>
      </c>
      <c r="K5" s="8" t="s">
        <v>32</v>
      </c>
      <c r="L5" s="8" t="s">
        <v>6</v>
      </c>
      <c r="M5" s="8" t="s">
        <v>70</v>
      </c>
    </row>
    <row r="6" spans="1:13" x14ac:dyDescent="0.2">
      <c r="A6" s="12">
        <v>1</v>
      </c>
      <c r="B6" s="8" t="s">
        <v>7</v>
      </c>
      <c r="C6" s="8" t="s">
        <v>16</v>
      </c>
      <c r="D6" s="9">
        <v>36711</v>
      </c>
      <c r="E6" s="10">
        <f ca="1">DATEDIF(D6,TODAY(),"M")</f>
        <v>247</v>
      </c>
      <c r="F6" s="8">
        <v>2500</v>
      </c>
      <c r="G6" s="9">
        <v>29718</v>
      </c>
      <c r="H6" s="8">
        <f ca="1">DATEDIF(G6,TODAY(),"Y")</f>
        <v>39</v>
      </c>
      <c r="I6" s="8" t="s">
        <v>29</v>
      </c>
      <c r="J6" s="8">
        <v>20</v>
      </c>
      <c r="K6" s="8">
        <v>0</v>
      </c>
      <c r="L6" s="8">
        <v>1200</v>
      </c>
      <c r="M6" s="8">
        <v>5</v>
      </c>
    </row>
    <row r="7" spans="1:13" x14ac:dyDescent="0.2">
      <c r="A7" s="12">
        <v>2</v>
      </c>
      <c r="B7" s="8" t="s">
        <v>8</v>
      </c>
      <c r="C7" s="8" t="s">
        <v>17</v>
      </c>
      <c r="D7" s="9">
        <v>36427</v>
      </c>
      <c r="E7" s="10">
        <f t="shared" ref="E7:E21" ca="1" si="0">DATEDIF(D7,TODAY(),"M")</f>
        <v>256</v>
      </c>
      <c r="F7" s="8">
        <v>3500</v>
      </c>
      <c r="G7" s="9">
        <v>28127</v>
      </c>
      <c r="H7" s="8">
        <f t="shared" ref="H7:H21" ca="1" si="1">DATEDIF(G7,TODAY(),"Y")</f>
        <v>44</v>
      </c>
      <c r="I7" s="8" t="s">
        <v>29</v>
      </c>
      <c r="J7" s="8">
        <v>10</v>
      </c>
      <c r="K7" s="8">
        <v>5</v>
      </c>
      <c r="L7" s="8">
        <v>1000</v>
      </c>
      <c r="M7" s="8">
        <v>5</v>
      </c>
    </row>
    <row r="8" spans="1:13" x14ac:dyDescent="0.2">
      <c r="A8" s="12">
        <v>3</v>
      </c>
      <c r="B8" s="8" t="s">
        <v>9</v>
      </c>
      <c r="C8" s="8" t="s">
        <v>18</v>
      </c>
      <c r="D8" s="9">
        <v>37636</v>
      </c>
      <c r="E8" s="10">
        <f t="shared" ca="1" si="0"/>
        <v>217</v>
      </c>
      <c r="F8" s="8">
        <v>3000</v>
      </c>
      <c r="G8" s="9">
        <v>25540</v>
      </c>
      <c r="H8" s="8">
        <f t="shared" ca="1" si="1"/>
        <v>51</v>
      </c>
      <c r="I8" s="8" t="s">
        <v>29</v>
      </c>
      <c r="J8" s="8">
        <v>0</v>
      </c>
      <c r="K8" s="8">
        <v>3</v>
      </c>
      <c r="L8" s="8">
        <v>0</v>
      </c>
      <c r="M8" s="8">
        <v>2</v>
      </c>
    </row>
    <row r="9" spans="1:13" x14ac:dyDescent="0.2">
      <c r="A9" s="12">
        <v>4</v>
      </c>
      <c r="B9" s="8" t="s">
        <v>10</v>
      </c>
      <c r="C9" s="8" t="s">
        <v>18</v>
      </c>
      <c r="D9" s="9">
        <v>37803</v>
      </c>
      <c r="E9" s="10">
        <f t="shared" ca="1" si="0"/>
        <v>211</v>
      </c>
      <c r="F9" s="8">
        <v>3000</v>
      </c>
      <c r="G9" s="9">
        <v>29364</v>
      </c>
      <c r="H9" s="8">
        <f t="shared" ca="1" si="1"/>
        <v>40</v>
      </c>
      <c r="I9" s="8" t="s">
        <v>30</v>
      </c>
      <c r="J9" s="8">
        <v>0</v>
      </c>
      <c r="K9" s="8">
        <v>0</v>
      </c>
      <c r="L9" s="8">
        <v>0</v>
      </c>
      <c r="M9" s="8">
        <v>2</v>
      </c>
    </row>
    <row r="10" spans="1:13" x14ac:dyDescent="0.2">
      <c r="A10" s="12">
        <v>5</v>
      </c>
      <c r="B10" s="8" t="s">
        <v>11</v>
      </c>
      <c r="C10" s="8" t="s">
        <v>17</v>
      </c>
      <c r="D10" s="9">
        <v>36770</v>
      </c>
      <c r="E10" s="10">
        <f t="shared" ca="1" si="0"/>
        <v>245</v>
      </c>
      <c r="F10" s="8">
        <v>3500</v>
      </c>
      <c r="G10" s="9">
        <v>27549</v>
      </c>
      <c r="H10" s="8">
        <f t="shared" ca="1" si="1"/>
        <v>45</v>
      </c>
      <c r="I10" s="8" t="s">
        <v>30</v>
      </c>
      <c r="J10" s="8">
        <v>0</v>
      </c>
      <c r="K10" s="8">
        <v>0</v>
      </c>
      <c r="L10" s="8">
        <v>0</v>
      </c>
      <c r="M10" s="8">
        <v>3</v>
      </c>
    </row>
    <row r="11" spans="1:13" x14ac:dyDescent="0.2">
      <c r="A11" s="12">
        <v>6</v>
      </c>
      <c r="B11" s="8" t="s">
        <v>12</v>
      </c>
      <c r="C11" s="8" t="s">
        <v>16</v>
      </c>
      <c r="D11" s="9">
        <v>38579</v>
      </c>
      <c r="E11" s="10">
        <f t="shared" ca="1" si="0"/>
        <v>186</v>
      </c>
      <c r="F11" s="8">
        <v>2500</v>
      </c>
      <c r="G11" s="9">
        <v>26464</v>
      </c>
      <c r="H11" s="8">
        <f t="shared" ca="1" si="1"/>
        <v>48</v>
      </c>
      <c r="I11" s="8" t="s">
        <v>30</v>
      </c>
      <c r="J11" s="8">
        <v>10</v>
      </c>
      <c r="K11" s="8">
        <v>2</v>
      </c>
      <c r="L11" s="8">
        <v>500</v>
      </c>
      <c r="M11" s="8">
        <v>1</v>
      </c>
    </row>
    <row r="12" spans="1:13" x14ac:dyDescent="0.2">
      <c r="A12" s="12">
        <v>7</v>
      </c>
      <c r="B12" s="8" t="s">
        <v>13</v>
      </c>
      <c r="C12" s="8" t="s">
        <v>19</v>
      </c>
      <c r="D12" s="9">
        <v>40518</v>
      </c>
      <c r="E12" s="10">
        <f t="shared" ca="1" si="0"/>
        <v>122</v>
      </c>
      <c r="F12" s="8">
        <v>4000</v>
      </c>
      <c r="G12" s="9">
        <v>29504</v>
      </c>
      <c r="H12" s="8">
        <f t="shared" ca="1" si="1"/>
        <v>40</v>
      </c>
      <c r="I12" s="8" t="s">
        <v>30</v>
      </c>
      <c r="J12" s="8">
        <v>15</v>
      </c>
      <c r="K12" s="8">
        <v>4</v>
      </c>
      <c r="L12" s="8">
        <v>500</v>
      </c>
      <c r="M12" s="8">
        <v>3</v>
      </c>
    </row>
    <row r="13" spans="1:13" x14ac:dyDescent="0.2">
      <c r="A13" s="12">
        <v>8</v>
      </c>
      <c r="B13" s="8" t="s">
        <v>14</v>
      </c>
      <c r="C13" s="8" t="s">
        <v>19</v>
      </c>
      <c r="D13" s="9">
        <v>40071</v>
      </c>
      <c r="E13" s="10">
        <f t="shared" ca="1" si="0"/>
        <v>137</v>
      </c>
      <c r="F13" s="8">
        <v>4500</v>
      </c>
      <c r="G13" s="9">
        <v>30243</v>
      </c>
      <c r="H13" s="8">
        <f t="shared" ca="1" si="1"/>
        <v>38</v>
      </c>
      <c r="I13" s="8" t="s">
        <v>29</v>
      </c>
      <c r="J13" s="8">
        <v>0</v>
      </c>
      <c r="K13" s="8">
        <v>0</v>
      </c>
      <c r="L13" s="8">
        <v>0</v>
      </c>
      <c r="M13" s="8">
        <v>2</v>
      </c>
    </row>
    <row r="14" spans="1:13" x14ac:dyDescent="0.2">
      <c r="A14" s="12">
        <v>9</v>
      </c>
      <c r="B14" s="8" t="s">
        <v>15</v>
      </c>
      <c r="C14" s="8" t="s">
        <v>20</v>
      </c>
      <c r="D14" s="9">
        <v>44206</v>
      </c>
      <c r="E14" s="10">
        <f t="shared" ca="1" si="0"/>
        <v>1</v>
      </c>
      <c r="F14" s="8">
        <v>3000</v>
      </c>
      <c r="G14" s="9">
        <v>33029</v>
      </c>
      <c r="H14" s="8">
        <f t="shared" ca="1" si="1"/>
        <v>30</v>
      </c>
      <c r="I14" s="8" t="s">
        <v>30</v>
      </c>
      <c r="J14" s="8">
        <v>0</v>
      </c>
      <c r="K14" s="8">
        <v>1</v>
      </c>
      <c r="L14" s="8">
        <v>0</v>
      </c>
      <c r="M14" s="8">
        <v>2</v>
      </c>
    </row>
    <row r="15" spans="1:13" x14ac:dyDescent="0.2">
      <c r="A15" s="12">
        <v>10</v>
      </c>
      <c r="B15" s="8" t="s">
        <v>21</v>
      </c>
      <c r="C15" s="8" t="s">
        <v>28</v>
      </c>
      <c r="D15" s="9">
        <v>43619</v>
      </c>
      <c r="E15" s="10">
        <f t="shared" ca="1" si="0"/>
        <v>20</v>
      </c>
      <c r="F15" s="8">
        <v>2500</v>
      </c>
      <c r="G15" s="9">
        <v>28689</v>
      </c>
      <c r="H15" s="8">
        <f t="shared" ca="1" si="1"/>
        <v>42</v>
      </c>
      <c r="I15" s="8" t="s">
        <v>29</v>
      </c>
      <c r="J15" s="8">
        <v>0</v>
      </c>
      <c r="K15" s="8">
        <v>0</v>
      </c>
      <c r="L15" s="8">
        <v>500</v>
      </c>
      <c r="M15" s="8">
        <v>2</v>
      </c>
    </row>
    <row r="16" spans="1:13" x14ac:dyDescent="0.2">
      <c r="A16" s="12">
        <v>11</v>
      </c>
      <c r="B16" s="8" t="s">
        <v>22</v>
      </c>
      <c r="C16" s="8" t="s">
        <v>20</v>
      </c>
      <c r="D16" s="9">
        <v>44027</v>
      </c>
      <c r="E16" s="10">
        <f t="shared" ca="1" si="0"/>
        <v>7</v>
      </c>
      <c r="F16" s="8">
        <v>3500</v>
      </c>
      <c r="G16" s="9">
        <v>31381</v>
      </c>
      <c r="H16" s="8">
        <f t="shared" ca="1" si="1"/>
        <v>35</v>
      </c>
      <c r="I16" s="8" t="s">
        <v>29</v>
      </c>
      <c r="J16" s="8">
        <v>5</v>
      </c>
      <c r="K16" s="8">
        <v>0</v>
      </c>
      <c r="L16" s="8">
        <v>1000</v>
      </c>
      <c r="M16" s="8">
        <v>2</v>
      </c>
    </row>
    <row r="17" spans="1:13" x14ac:dyDescent="0.2">
      <c r="A17" s="12">
        <v>12</v>
      </c>
      <c r="B17" s="8" t="s">
        <v>23</v>
      </c>
      <c r="C17" s="8" t="s">
        <v>16</v>
      </c>
      <c r="D17" s="9">
        <v>43721</v>
      </c>
      <c r="E17" s="10">
        <f t="shared" ca="1" si="0"/>
        <v>17</v>
      </c>
      <c r="F17" s="8">
        <v>2500</v>
      </c>
      <c r="G17" s="9">
        <v>32077</v>
      </c>
      <c r="H17" s="8">
        <f t="shared" ca="1" si="1"/>
        <v>33</v>
      </c>
      <c r="I17" s="8" t="s">
        <v>29</v>
      </c>
      <c r="J17" s="8">
        <v>10</v>
      </c>
      <c r="K17" s="8">
        <v>3</v>
      </c>
      <c r="L17" s="8">
        <v>0</v>
      </c>
      <c r="M17" s="8">
        <v>1</v>
      </c>
    </row>
    <row r="18" spans="1:13" x14ac:dyDescent="0.2">
      <c r="A18" s="12">
        <v>13</v>
      </c>
      <c r="B18" s="8" t="s">
        <v>24</v>
      </c>
      <c r="C18" s="8" t="s">
        <v>17</v>
      </c>
      <c r="D18" s="9">
        <v>43495</v>
      </c>
      <c r="E18" s="10">
        <f t="shared" ca="1" si="0"/>
        <v>24</v>
      </c>
      <c r="F18" s="8">
        <v>3500</v>
      </c>
      <c r="G18" s="9">
        <v>30330</v>
      </c>
      <c r="H18" s="8">
        <f t="shared" ca="1" si="1"/>
        <v>38</v>
      </c>
      <c r="I18" s="8" t="s">
        <v>29</v>
      </c>
      <c r="J18" s="8">
        <v>15</v>
      </c>
      <c r="K18" s="8">
        <v>0</v>
      </c>
      <c r="L18" s="8">
        <v>1500</v>
      </c>
      <c r="M18" s="8">
        <v>5</v>
      </c>
    </row>
    <row r="19" spans="1:13" x14ac:dyDescent="0.2">
      <c r="A19" s="12">
        <v>14</v>
      </c>
      <c r="B19" s="8" t="s">
        <v>25</v>
      </c>
      <c r="C19" s="8" t="s">
        <v>17</v>
      </c>
      <c r="D19" s="9">
        <v>38930</v>
      </c>
      <c r="E19" s="10">
        <f t="shared" ca="1" si="0"/>
        <v>174</v>
      </c>
      <c r="F19" s="8">
        <v>4000</v>
      </c>
      <c r="G19" s="9">
        <v>28184</v>
      </c>
      <c r="H19" s="8">
        <f t="shared" ca="1" si="1"/>
        <v>43</v>
      </c>
      <c r="I19" s="8" t="s">
        <v>29</v>
      </c>
      <c r="J19" s="8">
        <v>20</v>
      </c>
      <c r="K19" s="8">
        <v>0</v>
      </c>
      <c r="L19" s="8">
        <v>1200</v>
      </c>
      <c r="M19" s="8">
        <v>5</v>
      </c>
    </row>
    <row r="20" spans="1:13" x14ac:dyDescent="0.2">
      <c r="A20" s="12">
        <v>15</v>
      </c>
      <c r="B20" s="8" t="s">
        <v>26</v>
      </c>
      <c r="C20" s="8" t="s">
        <v>28</v>
      </c>
      <c r="D20" s="9">
        <v>42038</v>
      </c>
      <c r="E20" s="10">
        <f t="shared" ca="1" si="0"/>
        <v>72</v>
      </c>
      <c r="F20" s="8">
        <v>2800</v>
      </c>
      <c r="G20" s="9">
        <v>32746</v>
      </c>
      <c r="H20" s="8">
        <f t="shared" ca="1" si="1"/>
        <v>31</v>
      </c>
      <c r="I20" s="8" t="s">
        <v>29</v>
      </c>
      <c r="J20" s="8">
        <v>40</v>
      </c>
      <c r="K20" s="8">
        <v>5</v>
      </c>
      <c r="L20" s="8">
        <v>0</v>
      </c>
      <c r="M20" s="8">
        <v>1</v>
      </c>
    </row>
    <row r="21" spans="1:13" x14ac:dyDescent="0.2">
      <c r="A21" s="13">
        <v>16</v>
      </c>
      <c r="B21" s="8" t="s">
        <v>27</v>
      </c>
      <c r="C21" s="8" t="s">
        <v>28</v>
      </c>
      <c r="D21" s="9">
        <v>42504</v>
      </c>
      <c r="E21" s="10">
        <f t="shared" ca="1" si="0"/>
        <v>57</v>
      </c>
      <c r="F21" s="8">
        <v>2800</v>
      </c>
      <c r="G21" s="9">
        <v>32630</v>
      </c>
      <c r="H21" s="8">
        <f t="shared" ca="1" si="1"/>
        <v>31</v>
      </c>
      <c r="I21" s="8" t="s">
        <v>29</v>
      </c>
      <c r="J21" s="8">
        <v>20</v>
      </c>
      <c r="K21" s="8">
        <v>7</v>
      </c>
      <c r="L21" s="8">
        <v>1000</v>
      </c>
      <c r="M21" s="8">
        <v>5</v>
      </c>
    </row>
  </sheetData>
  <mergeCells count="1">
    <mergeCell ref="A1:M3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"/>
  <sheetViews>
    <sheetView topLeftCell="A4" workbookViewId="0">
      <selection activeCell="B8" sqref="B8"/>
    </sheetView>
  </sheetViews>
  <sheetFormatPr baseColWidth="10" defaultColWidth="8.83203125" defaultRowHeight="15" x14ac:dyDescent="0.2"/>
  <cols>
    <col min="1" max="1" width="26.6640625" customWidth="1"/>
    <col min="2" max="2" width="20.33203125" customWidth="1"/>
    <col min="4" max="4" width="16.83203125" customWidth="1"/>
    <col min="5" max="5" width="11.5" customWidth="1"/>
    <col min="7" max="7" width="16.5" customWidth="1"/>
    <col min="8" max="8" width="11.5" customWidth="1"/>
  </cols>
  <sheetData>
    <row r="1" spans="1:5" ht="32.25" customHeight="1" x14ac:dyDescent="0.2">
      <c r="A1" s="34" t="s">
        <v>74</v>
      </c>
      <c r="B1" s="34"/>
      <c r="C1" s="34"/>
      <c r="D1" s="34"/>
      <c r="E1" s="34"/>
    </row>
    <row r="2" spans="1:5" ht="20.25" customHeight="1" x14ac:dyDescent="0.2">
      <c r="A2" s="35"/>
      <c r="B2" s="35"/>
      <c r="C2" s="35"/>
      <c r="D2" s="35"/>
      <c r="E2" s="35"/>
    </row>
    <row r="3" spans="1:5" ht="15" customHeight="1" x14ac:dyDescent="0.2">
      <c r="A3" s="35"/>
      <c r="B3" s="35"/>
      <c r="C3" s="35"/>
      <c r="D3" s="35"/>
      <c r="E3" s="35"/>
    </row>
    <row r="4" spans="1:5" ht="15" customHeight="1" x14ac:dyDescent="0.2"/>
    <row r="5" spans="1:5" ht="21" customHeight="1" x14ac:dyDescent="0.2">
      <c r="A5" s="2" t="s">
        <v>34</v>
      </c>
      <c r="B5" s="2"/>
    </row>
    <row r="6" spans="1:5" ht="21" customHeight="1" x14ac:dyDescent="0.2">
      <c r="A6" s="4" t="s">
        <v>16</v>
      </c>
      <c r="B6" s="3"/>
    </row>
    <row r="8" spans="1:5" ht="21" customHeight="1" x14ac:dyDescent="0.2">
      <c r="A8" s="2" t="s">
        <v>38</v>
      </c>
      <c r="B8" s="5">
        <f>AVERAGEIF(EmployeeSituations!$C$6:$C$21,'Statistics per department'!$A$6,EmployeeSituations!$F$6:$F$21)</f>
        <v>2500</v>
      </c>
    </row>
    <row r="9" spans="1:5" ht="21" customHeight="1" x14ac:dyDescent="0.2">
      <c r="A9" s="2" t="s">
        <v>39</v>
      </c>
      <c r="B9" s="6">
        <f>AVERAGEIF(EmployeeSituations!$C$6:$C$21,'Statistics per department'!$A$6,EmployeeSituations!$L$6:$L$21)</f>
        <v>566.66666666666663</v>
      </c>
    </row>
    <row r="10" spans="1:5" x14ac:dyDescent="0.2">
      <c r="B10" s="4"/>
    </row>
    <row r="11" spans="1:5" ht="21" customHeight="1" x14ac:dyDescent="0.2">
      <c r="A11" s="2" t="s">
        <v>37</v>
      </c>
      <c r="B11" s="6">
        <f ca="1">AVERAGEIF(EmployeeSituations!$C$6:$C$21,'Statistics per department'!$A$6,EmployeeSituations!$E$6:$E$21)</f>
        <v>150</v>
      </c>
    </row>
    <row r="12" spans="1:5" ht="21" customHeight="1" x14ac:dyDescent="0.2">
      <c r="A12" s="2" t="s">
        <v>36</v>
      </c>
      <c r="B12" s="5">
        <f ca="1">AVERAGEIF(EmployeeSituations!$C$6:$C$21,'Statistics per department'!$A$6,EmployeeSituations!$H$6:$H$21)</f>
        <v>40</v>
      </c>
    </row>
    <row r="13" spans="1:5" ht="15" customHeight="1" x14ac:dyDescent="0.2">
      <c r="B13" s="4"/>
    </row>
    <row r="14" spans="1:5" ht="21" customHeight="1" x14ac:dyDescent="0.2">
      <c r="A14" s="2" t="s">
        <v>40</v>
      </c>
      <c r="B14" s="6">
        <f>AVERAGEIF(EmployeeSituations!$C$6:$C$21,'Statistics per department'!$A$6,EmployeeSituations!$J$6:$J$21)</f>
        <v>13.333333333333334</v>
      </c>
    </row>
    <row r="15" spans="1:5" ht="16" x14ac:dyDescent="0.2">
      <c r="A15" s="2" t="s">
        <v>41</v>
      </c>
      <c r="B15" s="6">
        <f>AVERAGEIF(EmployeeSituations!$C$6:$C$21,'Statistics per department'!$A$6,EmployeeSituations!$K$6:$K$21)</f>
        <v>1.6666666666666667</v>
      </c>
    </row>
    <row r="16" spans="1:5" ht="21" customHeight="1" x14ac:dyDescent="0.2"/>
    <row r="17" spans="1:2" ht="16" x14ac:dyDescent="0.2">
      <c r="A17" s="2" t="s">
        <v>72</v>
      </c>
      <c r="B17" s="6">
        <f>AVERAGEIF(EmployeeSituations!$C$6:$C$21,'Statistics per department'!$A$6,EmployeeSituations!$M$6:$M$21)</f>
        <v>2.3333333333333335</v>
      </c>
    </row>
  </sheetData>
  <mergeCells count="1">
    <mergeCell ref="A1:E3"/>
  </mergeCells>
  <dataValidations count="1">
    <dataValidation type="list" allowBlank="1" showInputMessage="1" showErrorMessage="1" sqref="A6" xr:uid="{00000000-0002-0000-0500-000000000000}">
      <formula1>department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3"/>
  <sheetViews>
    <sheetView workbookViewId="0">
      <selection activeCell="A4" sqref="A4"/>
    </sheetView>
  </sheetViews>
  <sheetFormatPr baseColWidth="10" defaultColWidth="8.83203125" defaultRowHeight="15" x14ac:dyDescent="0.2"/>
  <cols>
    <col min="1" max="1" width="15.83203125" customWidth="1"/>
    <col min="2" max="2" width="8.1640625" customWidth="1"/>
    <col min="3" max="3" width="1.5" customWidth="1"/>
    <col min="4" max="4" width="14.6640625" customWidth="1"/>
    <col min="6" max="6" width="1.5" customWidth="1"/>
    <col min="7" max="7" width="15.5" customWidth="1"/>
  </cols>
  <sheetData>
    <row r="1" spans="1:9" ht="15" customHeight="1" x14ac:dyDescent="0.2">
      <c r="A1" s="35" t="s">
        <v>98</v>
      </c>
      <c r="B1" s="35"/>
      <c r="C1" s="35"/>
      <c r="D1" s="35"/>
      <c r="E1" s="35"/>
      <c r="F1" s="35"/>
      <c r="G1" s="35"/>
      <c r="H1" s="35"/>
      <c r="I1" s="35"/>
    </row>
    <row r="2" spans="1:9" ht="15" customHeight="1" x14ac:dyDescent="0.2">
      <c r="A2" s="35"/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5" spans="1:9" x14ac:dyDescent="0.2">
      <c r="A5" s="36" t="s">
        <v>43</v>
      </c>
      <c r="B5" s="36"/>
      <c r="D5" s="36" t="s">
        <v>42</v>
      </c>
      <c r="E5" s="36"/>
    </row>
    <row r="6" spans="1:9" x14ac:dyDescent="0.2">
      <c r="A6" s="15" t="s">
        <v>16</v>
      </c>
      <c r="B6" s="16">
        <f>SUMIF(EmployeeSituations!$C$6:$C$21,GeneralStatistics!A6,EmployeeSituations!$L$6:$L$21)</f>
        <v>1700</v>
      </c>
      <c r="D6" s="15" t="s">
        <v>16</v>
      </c>
      <c r="E6" s="16">
        <f>12*SUMIF(EmployeeSituations!$C$6:$C$21,GeneralStatistics!D6,EmployeeSituations!$F$6:$F$21)</f>
        <v>90000</v>
      </c>
    </row>
    <row r="7" spans="1:9" x14ac:dyDescent="0.2">
      <c r="A7" s="15" t="s">
        <v>17</v>
      </c>
      <c r="B7" s="16">
        <f>SUMIF(EmployeeSituations!$C$6:$C$21,GeneralStatistics!A7,EmployeeSituations!$L$6:$L$21)</f>
        <v>3700</v>
      </c>
      <c r="D7" s="15" t="s">
        <v>17</v>
      </c>
      <c r="E7" s="16">
        <f>12*SUMIF(EmployeeSituations!$C$6:$C$21,GeneralStatistics!D7,EmployeeSituations!$F$6:$F$21)</f>
        <v>174000</v>
      </c>
    </row>
    <row r="8" spans="1:9" x14ac:dyDescent="0.2">
      <c r="A8" s="15" t="s">
        <v>18</v>
      </c>
      <c r="B8" s="16">
        <f>SUMIF(EmployeeSituations!$C$6:$C$21,GeneralStatistics!A8,EmployeeSituations!$L$6:$L$21)</f>
        <v>0</v>
      </c>
      <c r="D8" s="15" t="s">
        <v>18</v>
      </c>
      <c r="E8" s="16">
        <f>12*SUMIF(EmployeeSituations!$C$6:$C$21,GeneralStatistics!D8,EmployeeSituations!$F$6:$F$21)</f>
        <v>72000</v>
      </c>
    </row>
    <row r="9" spans="1:9" x14ac:dyDescent="0.2">
      <c r="A9" s="15" t="s">
        <v>19</v>
      </c>
      <c r="B9" s="16">
        <f>SUMIF(EmployeeSituations!$C$6:$C$21,GeneralStatistics!A9,EmployeeSituations!$L$6:$L$21)</f>
        <v>500</v>
      </c>
      <c r="D9" s="15" t="s">
        <v>19</v>
      </c>
      <c r="E9" s="16">
        <f>12*SUMIF(EmployeeSituations!$C$6:$C$21,GeneralStatistics!D9,EmployeeSituations!$F$6:$F$21)</f>
        <v>102000</v>
      </c>
    </row>
    <row r="10" spans="1:9" x14ac:dyDescent="0.2">
      <c r="A10" s="15" t="s">
        <v>20</v>
      </c>
      <c r="B10" s="16">
        <f>SUMIF(EmployeeSituations!$C$6:$C$21,GeneralStatistics!A10,EmployeeSituations!$L$6:$L$21)</f>
        <v>1000</v>
      </c>
      <c r="D10" s="15" t="s">
        <v>20</v>
      </c>
      <c r="E10" s="16">
        <f>12*SUMIF(EmployeeSituations!$C$6:$C$21,GeneralStatistics!D10,EmployeeSituations!$F$6:$F$21)</f>
        <v>78000</v>
      </c>
    </row>
    <row r="11" spans="1:9" x14ac:dyDescent="0.2">
      <c r="A11" s="15" t="s">
        <v>28</v>
      </c>
      <c r="B11" s="16">
        <f>SUMIF(EmployeeSituations!$C$6:$C$21,GeneralStatistics!A11,EmployeeSituations!$L$6:$L$21)</f>
        <v>1500</v>
      </c>
      <c r="D11" s="15" t="s">
        <v>28</v>
      </c>
      <c r="E11" s="16">
        <f>12*SUMIF(EmployeeSituations!$C$6:$C$21,GeneralStatistics!D11,EmployeeSituations!$F$6:$F$21)</f>
        <v>97200</v>
      </c>
    </row>
    <row r="12" spans="1:9" x14ac:dyDescent="0.2">
      <c r="A12" s="16"/>
      <c r="B12" s="16"/>
    </row>
    <row r="14" spans="1:9" x14ac:dyDescent="0.2">
      <c r="A14" s="36" t="s">
        <v>45</v>
      </c>
      <c r="B14" s="36"/>
      <c r="D14" s="36" t="s">
        <v>44</v>
      </c>
      <c r="E14" s="36"/>
    </row>
    <row r="15" spans="1:9" x14ac:dyDescent="0.2">
      <c r="A15" s="15" t="s">
        <v>16</v>
      </c>
      <c r="B15" s="16">
        <f>SUMIF(EmployeeSituations!$C$6:$C$21,GeneralStatistics!A15,EmployeeSituations!$K$6:$K$21)</f>
        <v>5</v>
      </c>
      <c r="D15" s="15" t="s">
        <v>16</v>
      </c>
      <c r="E15" s="16">
        <f>SUMIF(EmployeeSituations!$C$6:$C$21,GeneralStatistics!D15,EmployeeSituations!$J$6:$J$21)</f>
        <v>40</v>
      </c>
    </row>
    <row r="16" spans="1:9" x14ac:dyDescent="0.2">
      <c r="A16" s="15" t="s">
        <v>17</v>
      </c>
      <c r="B16" s="16">
        <f>SUMIF(EmployeeSituations!$C$6:$C$21,GeneralStatistics!A16,EmployeeSituations!$K$6:$K$21)</f>
        <v>5</v>
      </c>
      <c r="D16" s="15" t="s">
        <v>17</v>
      </c>
      <c r="E16" s="16">
        <f>SUMIF(EmployeeSituations!$C$6:$C$21,GeneralStatistics!D16,EmployeeSituations!$J$6:$J$21)</f>
        <v>45</v>
      </c>
    </row>
    <row r="17" spans="1:8" x14ac:dyDescent="0.2">
      <c r="A17" s="15" t="s">
        <v>18</v>
      </c>
      <c r="B17" s="16">
        <f>SUMIF(EmployeeSituations!$C$6:$C$21,GeneralStatistics!A17,EmployeeSituations!$K$6:$K$21)</f>
        <v>3</v>
      </c>
      <c r="D17" s="15" t="s">
        <v>18</v>
      </c>
      <c r="E17" s="16">
        <f>SUMIF(EmployeeSituations!$C$6:$C$21,GeneralStatistics!D17,EmployeeSituations!$J$6:$J$21)</f>
        <v>0</v>
      </c>
    </row>
    <row r="18" spans="1:8" x14ac:dyDescent="0.2">
      <c r="A18" s="15" t="s">
        <v>19</v>
      </c>
      <c r="B18" s="16">
        <f>SUMIF(EmployeeSituations!$C$6:$C$21,GeneralStatistics!A18,EmployeeSituations!$K$6:$K$21)</f>
        <v>4</v>
      </c>
      <c r="D18" s="15" t="s">
        <v>19</v>
      </c>
      <c r="E18" s="16">
        <f>SUMIF(EmployeeSituations!$C$6:$C$21,GeneralStatistics!D18,EmployeeSituations!$J$6:$J$21)</f>
        <v>15</v>
      </c>
    </row>
    <row r="19" spans="1:8" x14ac:dyDescent="0.2">
      <c r="A19" s="15" t="s">
        <v>20</v>
      </c>
      <c r="B19" s="16">
        <f>SUMIF(EmployeeSituations!$C$6:$C$21,GeneralStatistics!A19,EmployeeSituations!$K$6:$K$21)</f>
        <v>1</v>
      </c>
      <c r="D19" s="15" t="s">
        <v>20</v>
      </c>
      <c r="E19" s="16">
        <f>SUMIF(EmployeeSituations!$C$6:$C$21,GeneralStatistics!D19,EmployeeSituations!$J$6:$J$21)</f>
        <v>5</v>
      </c>
    </row>
    <row r="20" spans="1:8" x14ac:dyDescent="0.2">
      <c r="A20" s="15" t="s">
        <v>28</v>
      </c>
      <c r="B20" s="16">
        <f>SUMIF(EmployeeSituations!$C$6:$C$21,GeneralStatistics!A20,EmployeeSituations!$K$6:$K$21)</f>
        <v>12</v>
      </c>
      <c r="D20" s="15" t="s">
        <v>28</v>
      </c>
      <c r="E20" s="16">
        <f>SUMIF(EmployeeSituations!$C$6:$C$21,GeneralStatistics!D20,EmployeeSituations!$J$6:$J$21)</f>
        <v>60</v>
      </c>
    </row>
    <row r="21" spans="1:8" ht="13.5" customHeight="1" x14ac:dyDescent="0.2"/>
    <row r="22" spans="1:8" ht="21" customHeight="1" x14ac:dyDescent="0.2"/>
    <row r="24" spans="1:8" x14ac:dyDescent="0.2">
      <c r="A24" s="36" t="s">
        <v>46</v>
      </c>
      <c r="B24" s="36"/>
      <c r="D24" s="36" t="s">
        <v>96</v>
      </c>
      <c r="E24" s="36"/>
      <c r="G24" s="36" t="s">
        <v>97</v>
      </c>
      <c r="H24" s="36"/>
    </row>
    <row r="25" spans="1:8" ht="15" customHeight="1" x14ac:dyDescent="0.2">
      <c r="A25" s="15" t="s">
        <v>29</v>
      </c>
      <c r="B25" s="16">
        <f>COUNTIF(Table1[SEX],"M")</f>
        <v>11</v>
      </c>
      <c r="D25" s="15" t="s">
        <v>16</v>
      </c>
      <c r="E25" s="25">
        <f ca="1">AVERAGEIF(EmployeeSituations!$C$6:$C$21,D25,EmployeeSituations!$H$6:$H$21)</f>
        <v>40</v>
      </c>
      <c r="G25" s="15" t="s">
        <v>16</v>
      </c>
      <c r="H25" s="25">
        <f>AVERAGEIF(EmployeeSituations!$C$6:$C$21,G25,EmployeeSituations!$F$6:$F$21)</f>
        <v>2500</v>
      </c>
    </row>
    <row r="26" spans="1:8" x14ac:dyDescent="0.2">
      <c r="A26" s="15" t="s">
        <v>30</v>
      </c>
      <c r="B26" s="16">
        <f>COUNTIF(Table1[SEX],"F")</f>
        <v>5</v>
      </c>
      <c r="D26" s="15" t="s">
        <v>17</v>
      </c>
      <c r="E26" s="25">
        <f ca="1">AVERAGEIF(EmployeeSituations!$C$6:$C$21,D26,EmployeeSituations!$H$6:$H$21)</f>
        <v>42.5</v>
      </c>
      <c r="G26" s="15" t="s">
        <v>17</v>
      </c>
      <c r="H26" s="25">
        <f>AVERAGEIF(EmployeeSituations!$C$6:$C$21,G26,EmployeeSituations!$F$6:$F$21)</f>
        <v>3625</v>
      </c>
    </row>
    <row r="27" spans="1:8" x14ac:dyDescent="0.2">
      <c r="D27" s="15" t="s">
        <v>18</v>
      </c>
      <c r="E27" s="25">
        <f ca="1">AVERAGEIF(EmployeeSituations!$C$6:$C$21,D27,EmployeeSituations!$H$6:$H$21)</f>
        <v>45.5</v>
      </c>
      <c r="G27" s="15" t="s">
        <v>18</v>
      </c>
      <c r="H27" s="25">
        <f>AVERAGEIF(EmployeeSituations!$C$6:$C$21,G27,EmployeeSituations!$F$6:$F$21)</f>
        <v>3000</v>
      </c>
    </row>
    <row r="28" spans="1:8" ht="15" customHeight="1" x14ac:dyDescent="0.2">
      <c r="A28" s="16"/>
      <c r="B28" s="16"/>
      <c r="D28" s="15" t="s">
        <v>19</v>
      </c>
      <c r="E28" s="25">
        <f ca="1">AVERAGEIF(EmployeeSituations!$C$6:$C$21,D28,EmployeeSituations!$H$6:$H$21)</f>
        <v>39</v>
      </c>
      <c r="G28" s="15" t="s">
        <v>19</v>
      </c>
      <c r="H28" s="25">
        <f>AVERAGEIF(EmployeeSituations!$C$6:$C$21,G28,EmployeeSituations!$F$6:$F$21)</f>
        <v>4250</v>
      </c>
    </row>
    <row r="29" spans="1:8" ht="16.5" customHeight="1" x14ac:dyDescent="0.2">
      <c r="D29" s="15" t="s">
        <v>20</v>
      </c>
      <c r="E29" s="25">
        <f ca="1">AVERAGEIF(EmployeeSituations!$C$6:$C$21,D29,EmployeeSituations!$H$6:$H$21)</f>
        <v>32.5</v>
      </c>
      <c r="G29" s="15" t="s">
        <v>20</v>
      </c>
      <c r="H29" s="25">
        <f>AVERAGEIF(EmployeeSituations!$C$6:$C$21,G29,EmployeeSituations!$F$6:$F$21)</f>
        <v>3250</v>
      </c>
    </row>
    <row r="30" spans="1:8" x14ac:dyDescent="0.2">
      <c r="D30" s="15" t="s">
        <v>28</v>
      </c>
      <c r="E30" s="25">
        <f ca="1">AVERAGEIF(EmployeeSituations!$C$6:$C$21,D30,EmployeeSituations!$H$6:$H$21)</f>
        <v>34.666666666666664</v>
      </c>
      <c r="G30" s="15" t="s">
        <v>28</v>
      </c>
      <c r="H30" s="25">
        <f>AVERAGEIF(EmployeeSituations!$C$6:$C$21,G30,EmployeeSituations!$F$6:$F$21)</f>
        <v>2700</v>
      </c>
    </row>
    <row r="32" spans="1:8" ht="21" customHeight="1" x14ac:dyDescent="0.2"/>
    <row r="35" spans="1:2" ht="15" customHeight="1" x14ac:dyDescent="0.2"/>
    <row r="36" spans="1:2" ht="19.5" customHeight="1" x14ac:dyDescent="0.2"/>
    <row r="40" spans="1:2" x14ac:dyDescent="0.2">
      <c r="A40" s="15"/>
      <c r="B40" s="17"/>
    </row>
    <row r="41" spans="1:2" x14ac:dyDescent="0.2">
      <c r="A41" s="15"/>
      <c r="B41" s="17"/>
    </row>
    <row r="42" spans="1:2" x14ac:dyDescent="0.2">
      <c r="A42" s="15"/>
      <c r="B42" s="17"/>
    </row>
    <row r="43" spans="1:2" ht="21" customHeight="1" x14ac:dyDescent="0.2">
      <c r="A43" s="15"/>
      <c r="B43" s="17"/>
    </row>
    <row r="44" spans="1:2" x14ac:dyDescent="0.2">
      <c r="A44" s="16"/>
      <c r="B44" s="16"/>
    </row>
    <row r="45" spans="1:2" x14ac:dyDescent="0.2">
      <c r="A45" s="16"/>
      <c r="B45" s="16"/>
    </row>
    <row r="53" spans="1:2" x14ac:dyDescent="0.2">
      <c r="A53" s="16"/>
      <c r="B53" s="16"/>
    </row>
    <row r="54" spans="1:2" ht="21" customHeight="1" x14ac:dyDescent="0.2">
      <c r="A54" s="16"/>
      <c r="B54" s="16"/>
    </row>
    <row r="55" spans="1:2" x14ac:dyDescent="0.2">
      <c r="A55" s="16"/>
      <c r="B55" s="16"/>
    </row>
    <row r="56" spans="1:2" x14ac:dyDescent="0.2">
      <c r="A56" s="16"/>
      <c r="B56" s="16"/>
    </row>
    <row r="60" spans="1:2" x14ac:dyDescent="0.2">
      <c r="A60" s="16"/>
      <c r="B60" s="16"/>
    </row>
    <row r="66" spans="1:2" ht="21" customHeight="1" x14ac:dyDescent="0.2"/>
    <row r="69" spans="1:2" x14ac:dyDescent="0.2">
      <c r="A69" s="37" t="s">
        <v>51</v>
      </c>
      <c r="B69" s="37"/>
    </row>
    <row r="70" spans="1:2" x14ac:dyDescent="0.2">
      <c r="A70" s="4" t="s">
        <v>47</v>
      </c>
      <c r="B70">
        <f ca="1">COUNTIFS(Table1[AGE],"&lt;=30", Table1[AGE],"&gt;20")</f>
        <v>1</v>
      </c>
    </row>
    <row r="71" spans="1:2" x14ac:dyDescent="0.2">
      <c r="A71" s="4" t="s">
        <v>48</v>
      </c>
      <c r="B71">
        <f ca="1">COUNTIFS(Table1[AGE],"&lt;=40", Table1[AGE],"&gt;30")</f>
        <v>9</v>
      </c>
    </row>
    <row r="72" spans="1:2" x14ac:dyDescent="0.2">
      <c r="A72" s="4" t="s">
        <v>49</v>
      </c>
      <c r="B72">
        <f ca="1">COUNTIFS(Table1[AGE],"&lt;=50", Table1[AGE],"&gt;40")</f>
        <v>5</v>
      </c>
    </row>
    <row r="73" spans="1:2" x14ac:dyDescent="0.2">
      <c r="A73" s="4" t="s">
        <v>50</v>
      </c>
      <c r="B73">
        <f ca="1">COUNTIF(Table1[AGE],"&gt;50")</f>
        <v>1</v>
      </c>
    </row>
  </sheetData>
  <mergeCells count="9">
    <mergeCell ref="A1:I3"/>
    <mergeCell ref="A5:B5"/>
    <mergeCell ref="D14:E14"/>
    <mergeCell ref="A14:B14"/>
    <mergeCell ref="A69:B69"/>
    <mergeCell ref="D5:E5"/>
    <mergeCell ref="A24:B24"/>
    <mergeCell ref="D24:E24"/>
    <mergeCell ref="G24:H24"/>
  </mergeCells>
  <dataValidations count="1">
    <dataValidation type="list" allowBlank="1" showInputMessage="1" showErrorMessage="1" sqref="G25:G30 D15:D20 A15:A20 D6:D11 A40:A43 A6:A11 D25:D30" xr:uid="{00000000-0002-0000-0600-000000000000}">
      <formula1>department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"/>
  <sheetViews>
    <sheetView workbookViewId="0">
      <selection activeCell="G18" sqref="G18"/>
    </sheetView>
  </sheetViews>
  <sheetFormatPr baseColWidth="10" defaultColWidth="8.83203125" defaultRowHeight="15" x14ac:dyDescent="0.2"/>
  <cols>
    <col min="1" max="1" width="14.5" customWidth="1"/>
    <col min="5" max="5" width="27.5" customWidth="1"/>
    <col min="6" max="6" width="19.1640625" customWidth="1"/>
    <col min="7" max="7" width="23.5" customWidth="1"/>
  </cols>
  <sheetData>
    <row r="1" spans="1:7" ht="18" customHeight="1" x14ac:dyDescent="0.2">
      <c r="A1" s="18" t="s">
        <v>34</v>
      </c>
      <c r="C1" s="18" t="s">
        <v>87</v>
      </c>
      <c r="E1" s="18" t="s">
        <v>89</v>
      </c>
      <c r="F1" t="s">
        <v>92</v>
      </c>
      <c r="G1" t="s">
        <v>93</v>
      </c>
    </row>
    <row r="2" spans="1:7" ht="16" x14ac:dyDescent="0.2">
      <c r="A2" t="s">
        <v>16</v>
      </c>
      <c r="C2" t="s">
        <v>53</v>
      </c>
      <c r="E2" s="18" t="s">
        <v>90</v>
      </c>
      <c r="F2" t="s">
        <v>92</v>
      </c>
      <c r="G2" t="s">
        <v>93</v>
      </c>
    </row>
    <row r="3" spans="1:7" ht="16" x14ac:dyDescent="0.2">
      <c r="A3" t="s">
        <v>17</v>
      </c>
      <c r="C3" t="s">
        <v>54</v>
      </c>
      <c r="E3" s="18" t="s">
        <v>91</v>
      </c>
      <c r="F3" t="s">
        <v>92</v>
      </c>
      <c r="G3" t="s">
        <v>93</v>
      </c>
    </row>
    <row r="4" spans="1:7" ht="16.5" customHeight="1" x14ac:dyDescent="0.2">
      <c r="A4" t="s">
        <v>18</v>
      </c>
      <c r="C4" t="s">
        <v>55</v>
      </c>
    </row>
    <row r="5" spans="1:7" x14ac:dyDescent="0.2">
      <c r="A5" t="s">
        <v>19</v>
      </c>
      <c r="C5" t="s">
        <v>56</v>
      </c>
    </row>
    <row r="6" spans="1:7" x14ac:dyDescent="0.2">
      <c r="A6" t="s">
        <v>20</v>
      </c>
      <c r="C6" t="s">
        <v>57</v>
      </c>
    </row>
    <row r="7" spans="1:7" x14ac:dyDescent="0.2">
      <c r="A7" t="s">
        <v>28</v>
      </c>
      <c r="C7" t="s">
        <v>58</v>
      </c>
    </row>
    <row r="8" spans="1:7" x14ac:dyDescent="0.2">
      <c r="C8" t="s">
        <v>59</v>
      </c>
    </row>
    <row r="9" spans="1:7" x14ac:dyDescent="0.2">
      <c r="C9" t="s">
        <v>60</v>
      </c>
    </row>
    <row r="10" spans="1:7" x14ac:dyDescent="0.2">
      <c r="C10" t="s">
        <v>61</v>
      </c>
    </row>
    <row r="11" spans="1:7" x14ac:dyDescent="0.2">
      <c r="C11" t="s">
        <v>62</v>
      </c>
    </row>
    <row r="12" spans="1:7" x14ac:dyDescent="0.2">
      <c r="C12" t="s">
        <v>63</v>
      </c>
    </row>
    <row r="13" spans="1:7" x14ac:dyDescent="0.2">
      <c r="C13" t="s">
        <v>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1F6C-C1C8-9B47-BBEF-E8602576A70D}">
  <dimension ref="B1:B9"/>
  <sheetViews>
    <sheetView workbookViewId="0">
      <selection activeCell="B2" sqref="B2"/>
    </sheetView>
  </sheetViews>
  <sheetFormatPr baseColWidth="10" defaultRowHeight="15" x14ac:dyDescent="0.2"/>
  <cols>
    <col min="1" max="1" width="11" customWidth="1"/>
    <col min="2" max="2" width="69.5" customWidth="1"/>
  </cols>
  <sheetData>
    <row r="1" spans="2:2" ht="26" x14ac:dyDescent="0.3">
      <c r="B1" s="40" t="s">
        <v>102</v>
      </c>
    </row>
    <row r="2" spans="2:2" x14ac:dyDescent="0.2">
      <c r="B2" t="s">
        <v>104</v>
      </c>
    </row>
    <row r="3" spans="2:2" ht="17" x14ac:dyDescent="0.2">
      <c r="B3" s="39" t="s">
        <v>101</v>
      </c>
    </row>
    <row r="5" spans="2:2" ht="51" x14ac:dyDescent="0.2">
      <c r="B5" s="38" t="s">
        <v>99</v>
      </c>
    </row>
    <row r="6" spans="2:2" ht="16" x14ac:dyDescent="0.2">
      <c r="B6" s="38"/>
    </row>
    <row r="7" spans="2:2" ht="34" x14ac:dyDescent="0.2">
      <c r="B7" s="38" t="s">
        <v>100</v>
      </c>
    </row>
    <row r="8" spans="2:2" ht="16" x14ac:dyDescent="0.2">
      <c r="B8" s="38"/>
    </row>
    <row r="9" spans="2:2" ht="17" x14ac:dyDescent="0.2">
      <c r="B9" s="38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Dashboard</vt:lpstr>
      <vt:lpstr>KPI</vt:lpstr>
      <vt:lpstr>DataForKPI</vt:lpstr>
      <vt:lpstr>KPI per month</vt:lpstr>
      <vt:lpstr>EmployeeSituations</vt:lpstr>
      <vt:lpstr>Statistics per department</vt:lpstr>
      <vt:lpstr>GeneralStatistics</vt:lpstr>
      <vt:lpstr>Legend</vt:lpstr>
      <vt:lpstr>©</vt:lpstr>
      <vt:lpstr>department</vt:lpstr>
      <vt:lpstr>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Microsoft Office User</cp:lastModifiedBy>
  <cp:lastPrinted>2021-02-18T14:41:59Z</cp:lastPrinted>
  <dcterms:created xsi:type="dcterms:W3CDTF">2021-02-12T14:54:12Z</dcterms:created>
  <dcterms:modified xsi:type="dcterms:W3CDTF">2021-02-19T08:44:47Z</dcterms:modified>
</cp:coreProperties>
</file>